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externalLinks/externalLink165.xml" ContentType="application/vnd.openxmlformats-officedocument.spreadsheetml.externalLink+xml"/>
  <Override PartName="/xl/externalLinks/externalLink166.xml" ContentType="application/vnd.openxmlformats-officedocument.spreadsheetml.externalLink+xml"/>
  <Override PartName="/xl/externalLinks/externalLink167.xml" ContentType="application/vnd.openxmlformats-officedocument.spreadsheetml.externalLink+xml"/>
  <Override PartName="/xl/externalLinks/externalLink168.xml" ContentType="application/vnd.openxmlformats-officedocument.spreadsheetml.externalLink+xml"/>
  <Override PartName="/xl/externalLinks/externalLink169.xml" ContentType="application/vnd.openxmlformats-officedocument.spreadsheetml.externalLink+xml"/>
  <Override PartName="/xl/externalLinks/externalLink170.xml" ContentType="application/vnd.openxmlformats-officedocument.spreadsheetml.externalLink+xml"/>
  <Override PartName="/xl/externalLinks/externalLink171.xml" ContentType="application/vnd.openxmlformats-officedocument.spreadsheetml.externalLink+xml"/>
  <Override PartName="/xl/externalLinks/externalLink172.xml" ContentType="application/vnd.openxmlformats-officedocument.spreadsheetml.externalLink+xml"/>
  <Override PartName="/xl/externalLinks/externalLink173.xml" ContentType="application/vnd.openxmlformats-officedocument.spreadsheetml.externalLink+xml"/>
  <Override PartName="/xl/externalLinks/externalLink174.xml" ContentType="application/vnd.openxmlformats-officedocument.spreadsheetml.externalLink+xml"/>
  <Override PartName="/xl/externalLinks/externalLink175.xml" ContentType="application/vnd.openxmlformats-officedocument.spreadsheetml.externalLink+xml"/>
  <Override PartName="/xl/externalLinks/externalLink176.xml" ContentType="application/vnd.openxmlformats-officedocument.spreadsheetml.externalLink+xml"/>
  <Override PartName="/xl/externalLinks/externalLink177.xml" ContentType="application/vnd.openxmlformats-officedocument.spreadsheetml.externalLink+xml"/>
  <Override PartName="/xl/externalLinks/externalLink178.xml" ContentType="application/vnd.openxmlformats-officedocument.spreadsheetml.externalLink+xml"/>
  <Override PartName="/xl/externalLinks/externalLink179.xml" ContentType="application/vnd.openxmlformats-officedocument.spreadsheetml.externalLink+xml"/>
  <Override PartName="/xl/externalLinks/externalLink180.xml" ContentType="application/vnd.openxmlformats-officedocument.spreadsheetml.externalLink+xml"/>
  <Override PartName="/xl/externalLinks/externalLink181.xml" ContentType="application/vnd.openxmlformats-officedocument.spreadsheetml.externalLink+xml"/>
  <Override PartName="/xl/externalLinks/externalLink182.xml" ContentType="application/vnd.openxmlformats-officedocument.spreadsheetml.externalLink+xml"/>
  <Override PartName="/xl/externalLinks/externalLink183.xml" ContentType="application/vnd.openxmlformats-officedocument.spreadsheetml.externalLink+xml"/>
  <Override PartName="/xl/externalLinks/externalLink184.xml" ContentType="application/vnd.openxmlformats-officedocument.spreadsheetml.externalLink+xml"/>
  <Override PartName="/xl/externalLinks/externalLink185.xml" ContentType="application/vnd.openxmlformats-officedocument.spreadsheetml.externalLink+xml"/>
  <Override PartName="/xl/externalLinks/externalLink186.xml" ContentType="application/vnd.openxmlformats-officedocument.spreadsheetml.externalLink+xml"/>
  <Override PartName="/xl/externalLinks/externalLink187.xml" ContentType="application/vnd.openxmlformats-officedocument.spreadsheetml.externalLink+xml"/>
  <Override PartName="/xl/externalLinks/externalLink188.xml" ContentType="application/vnd.openxmlformats-officedocument.spreadsheetml.externalLink+xml"/>
  <Override PartName="/xl/externalLinks/externalLink189.xml" ContentType="application/vnd.openxmlformats-officedocument.spreadsheetml.externalLink+xml"/>
  <Override PartName="/xl/externalLinks/externalLink190.xml" ContentType="application/vnd.openxmlformats-officedocument.spreadsheetml.externalLink+xml"/>
  <Override PartName="/xl/externalLinks/externalLink191.xml" ContentType="application/vnd.openxmlformats-officedocument.spreadsheetml.externalLink+xml"/>
  <Override PartName="/xl/externalLinks/externalLink192.xml" ContentType="application/vnd.openxmlformats-officedocument.spreadsheetml.externalLink+xml"/>
  <Override PartName="/xl/externalLinks/externalLink193.xml" ContentType="application/vnd.openxmlformats-officedocument.spreadsheetml.externalLink+xml"/>
  <Override PartName="/xl/externalLinks/externalLink194.xml" ContentType="application/vnd.openxmlformats-officedocument.spreadsheetml.externalLink+xml"/>
  <Override PartName="/xl/externalLinks/externalLink195.xml" ContentType="application/vnd.openxmlformats-officedocument.spreadsheetml.externalLink+xml"/>
  <Override PartName="/xl/externalLinks/externalLink196.xml" ContentType="application/vnd.openxmlformats-officedocument.spreadsheetml.externalLink+xml"/>
  <Override PartName="/xl/externalLinks/externalLink197.xml" ContentType="application/vnd.openxmlformats-officedocument.spreadsheetml.externalLink+xml"/>
  <Override PartName="/xl/externalLinks/externalLink198.xml" ContentType="application/vnd.openxmlformats-officedocument.spreadsheetml.externalLink+xml"/>
  <Override PartName="/xl/externalLinks/externalLink199.xml" ContentType="application/vnd.openxmlformats-officedocument.spreadsheetml.externalLink+xml"/>
  <Override PartName="/xl/externalLinks/externalLink200.xml" ContentType="application/vnd.openxmlformats-officedocument.spreadsheetml.externalLink+xml"/>
  <Override PartName="/xl/externalLinks/externalLink201.xml" ContentType="application/vnd.openxmlformats-officedocument.spreadsheetml.externalLink+xml"/>
  <Override PartName="/xl/externalLinks/externalLink202.xml" ContentType="application/vnd.openxmlformats-officedocument.spreadsheetml.externalLink+xml"/>
  <Override PartName="/xl/externalLinks/externalLink203.xml" ContentType="application/vnd.openxmlformats-officedocument.spreadsheetml.externalLink+xml"/>
  <Override PartName="/xl/externalLinks/externalLink204.xml" ContentType="application/vnd.openxmlformats-officedocument.spreadsheetml.externalLink+xml"/>
  <Override PartName="/xl/externalLinks/externalLink205.xml" ContentType="application/vnd.openxmlformats-officedocument.spreadsheetml.externalLink+xml"/>
  <Override PartName="/xl/externalLinks/externalLink206.xml" ContentType="application/vnd.openxmlformats-officedocument.spreadsheetml.externalLink+xml"/>
  <Override PartName="/xl/externalLinks/externalLink207.xml" ContentType="application/vnd.openxmlformats-officedocument.spreadsheetml.externalLink+xml"/>
  <Override PartName="/xl/externalLinks/externalLink208.xml" ContentType="application/vnd.openxmlformats-officedocument.spreadsheetml.externalLink+xml"/>
  <Override PartName="/xl/externalLinks/externalLink209.xml" ContentType="application/vnd.openxmlformats-officedocument.spreadsheetml.externalLink+xml"/>
  <Override PartName="/xl/externalLinks/externalLink210.xml" ContentType="application/vnd.openxmlformats-officedocument.spreadsheetml.externalLink+xml"/>
  <Override PartName="/xl/externalLinks/externalLink211.xml" ContentType="application/vnd.openxmlformats-officedocument.spreadsheetml.externalLink+xml"/>
  <Override PartName="/xl/externalLinks/externalLink212.xml" ContentType="application/vnd.openxmlformats-officedocument.spreadsheetml.externalLink+xml"/>
  <Override PartName="/xl/externalLinks/externalLink213.xml" ContentType="application/vnd.openxmlformats-officedocument.spreadsheetml.externalLink+xml"/>
  <Override PartName="/xl/externalLinks/externalLink214.xml" ContentType="application/vnd.openxmlformats-officedocument.spreadsheetml.externalLink+xml"/>
  <Override PartName="/xl/externalLinks/externalLink215.xml" ContentType="application/vnd.openxmlformats-officedocument.spreadsheetml.externalLink+xml"/>
  <Override PartName="/xl/externalLinks/externalLink216.xml" ContentType="application/vnd.openxmlformats-officedocument.spreadsheetml.externalLink+xml"/>
  <Override PartName="/xl/externalLinks/externalLink217.xml" ContentType="application/vnd.openxmlformats-officedocument.spreadsheetml.externalLink+xml"/>
  <Override PartName="/xl/externalLinks/externalLink218.xml" ContentType="application/vnd.openxmlformats-officedocument.spreadsheetml.externalLink+xml"/>
  <Override PartName="/xl/externalLinks/externalLink219.xml" ContentType="application/vnd.openxmlformats-officedocument.spreadsheetml.externalLink+xml"/>
  <Override PartName="/xl/externalLinks/externalLink220.xml" ContentType="application/vnd.openxmlformats-officedocument.spreadsheetml.externalLink+xml"/>
  <Override PartName="/xl/externalLinks/externalLink221.xml" ContentType="application/vnd.openxmlformats-officedocument.spreadsheetml.externalLink+xml"/>
  <Override PartName="/xl/externalLinks/externalLink222.xml" ContentType="application/vnd.openxmlformats-officedocument.spreadsheetml.externalLink+xml"/>
  <Override PartName="/xl/externalLinks/externalLink223.xml" ContentType="application/vnd.openxmlformats-officedocument.spreadsheetml.externalLink+xml"/>
  <Override PartName="/xl/externalLinks/externalLink224.xml" ContentType="application/vnd.openxmlformats-officedocument.spreadsheetml.externalLink+xml"/>
  <Override PartName="/xl/externalLinks/externalLink225.xml" ContentType="application/vnd.openxmlformats-officedocument.spreadsheetml.externalLink+xml"/>
  <Override PartName="/xl/externalLinks/externalLink226.xml" ContentType="application/vnd.openxmlformats-officedocument.spreadsheetml.externalLink+xml"/>
  <Override PartName="/xl/externalLinks/externalLink227.xml" ContentType="application/vnd.openxmlformats-officedocument.spreadsheetml.externalLink+xml"/>
  <Override PartName="/xl/externalLinks/externalLink228.xml" ContentType="application/vnd.openxmlformats-officedocument.spreadsheetml.externalLink+xml"/>
  <Override PartName="/xl/externalLinks/externalLink229.xml" ContentType="application/vnd.openxmlformats-officedocument.spreadsheetml.externalLink+xml"/>
  <Override PartName="/xl/externalLinks/externalLink230.xml" ContentType="application/vnd.openxmlformats-officedocument.spreadsheetml.externalLink+xml"/>
  <Override PartName="/xl/externalLinks/externalLink231.xml" ContentType="application/vnd.openxmlformats-officedocument.spreadsheetml.externalLink+xml"/>
  <Override PartName="/xl/externalLinks/externalLink232.xml" ContentType="application/vnd.openxmlformats-officedocument.spreadsheetml.externalLink+xml"/>
  <Override PartName="/xl/externalLinks/externalLink233.xml" ContentType="application/vnd.openxmlformats-officedocument.spreadsheetml.externalLink+xml"/>
  <Override PartName="/xl/externalLinks/externalLink234.xml" ContentType="application/vnd.openxmlformats-officedocument.spreadsheetml.externalLink+xml"/>
  <Override PartName="/xl/externalLinks/externalLink235.xml" ContentType="application/vnd.openxmlformats-officedocument.spreadsheetml.externalLink+xml"/>
  <Override PartName="/xl/externalLinks/externalLink236.xml" ContentType="application/vnd.openxmlformats-officedocument.spreadsheetml.externalLink+xml"/>
  <Override PartName="/xl/externalLinks/externalLink237.xml" ContentType="application/vnd.openxmlformats-officedocument.spreadsheetml.externalLink+xml"/>
  <Override PartName="/xl/externalLinks/externalLink238.xml" ContentType="application/vnd.openxmlformats-officedocument.spreadsheetml.externalLink+xml"/>
  <Override PartName="/xl/externalLinks/externalLink239.xml" ContentType="application/vnd.openxmlformats-officedocument.spreadsheetml.externalLink+xml"/>
  <Override PartName="/xl/externalLinks/externalLink240.xml" ContentType="application/vnd.openxmlformats-officedocument.spreadsheetml.externalLink+xml"/>
  <Override PartName="/xl/externalLinks/externalLink241.xml" ContentType="application/vnd.openxmlformats-officedocument.spreadsheetml.externalLink+xml"/>
  <Override PartName="/xl/externalLinks/externalLink242.xml" ContentType="application/vnd.openxmlformats-officedocument.spreadsheetml.externalLink+xml"/>
  <Override PartName="/xl/externalLinks/externalLink243.xml" ContentType="application/vnd.openxmlformats-officedocument.spreadsheetml.externalLink+xml"/>
  <Override PartName="/xl/externalLinks/externalLink244.xml" ContentType="application/vnd.openxmlformats-officedocument.spreadsheetml.externalLink+xml"/>
  <Override PartName="/xl/externalLinks/externalLink245.xml" ContentType="application/vnd.openxmlformats-officedocument.spreadsheetml.externalLink+xml"/>
  <Override PartName="/xl/externalLinks/externalLink246.xml" ContentType="application/vnd.openxmlformats-officedocument.spreadsheetml.externalLink+xml"/>
  <Override PartName="/xl/externalLinks/externalLink247.xml" ContentType="application/vnd.openxmlformats-officedocument.spreadsheetml.externalLink+xml"/>
  <Override PartName="/xl/externalLinks/externalLink248.xml" ContentType="application/vnd.openxmlformats-officedocument.spreadsheetml.externalLink+xml"/>
  <Override PartName="/xl/externalLinks/externalLink249.xml" ContentType="application/vnd.openxmlformats-officedocument.spreadsheetml.externalLink+xml"/>
  <Override PartName="/xl/externalLinks/externalLink250.xml" ContentType="application/vnd.openxmlformats-officedocument.spreadsheetml.externalLink+xml"/>
  <Override PartName="/xl/externalLinks/externalLink251.xml" ContentType="application/vnd.openxmlformats-officedocument.spreadsheetml.externalLink+xml"/>
  <Override PartName="/xl/externalLinks/externalLink252.xml" ContentType="application/vnd.openxmlformats-officedocument.spreadsheetml.externalLink+xml"/>
  <Override PartName="/xl/externalLinks/externalLink253.xml" ContentType="application/vnd.openxmlformats-officedocument.spreadsheetml.externalLink+xml"/>
  <Override PartName="/xl/externalLinks/externalLink254.xml" ContentType="application/vnd.openxmlformats-officedocument.spreadsheetml.externalLink+xml"/>
  <Override PartName="/xl/externalLinks/externalLink255.xml" ContentType="application/vnd.openxmlformats-officedocument.spreadsheetml.externalLink+xml"/>
  <Override PartName="/xl/externalLinks/externalLink256.xml" ContentType="application/vnd.openxmlformats-officedocument.spreadsheetml.externalLink+xml"/>
  <Override PartName="/xl/externalLinks/externalLink257.xml" ContentType="application/vnd.openxmlformats-officedocument.spreadsheetml.externalLink+xml"/>
  <Override PartName="/xl/externalLinks/externalLink258.xml" ContentType="application/vnd.openxmlformats-officedocument.spreadsheetml.externalLink+xml"/>
  <Override PartName="/xl/externalLinks/externalLink259.xml" ContentType="application/vnd.openxmlformats-officedocument.spreadsheetml.externalLink+xml"/>
  <Override PartName="/xl/externalLinks/externalLink260.xml" ContentType="application/vnd.openxmlformats-officedocument.spreadsheetml.externalLink+xml"/>
  <Override PartName="/xl/externalLinks/externalLink261.xml" ContentType="application/vnd.openxmlformats-officedocument.spreadsheetml.externalLink+xml"/>
  <Override PartName="/xl/externalLinks/externalLink262.xml" ContentType="application/vnd.openxmlformats-officedocument.spreadsheetml.externalLink+xml"/>
  <Override PartName="/xl/externalLinks/externalLink263.xml" ContentType="application/vnd.openxmlformats-officedocument.spreadsheetml.externalLink+xml"/>
  <Override PartName="/xl/externalLinks/externalLink264.xml" ContentType="application/vnd.openxmlformats-officedocument.spreadsheetml.externalLink+xml"/>
  <Override PartName="/xl/externalLinks/externalLink265.xml" ContentType="application/vnd.openxmlformats-officedocument.spreadsheetml.externalLink+xml"/>
  <Override PartName="/xl/externalLinks/externalLink266.xml" ContentType="application/vnd.openxmlformats-officedocument.spreadsheetml.externalLink+xml"/>
  <Override PartName="/xl/externalLinks/externalLink267.xml" ContentType="application/vnd.openxmlformats-officedocument.spreadsheetml.externalLink+xml"/>
  <Override PartName="/xl/externalLinks/externalLink268.xml" ContentType="application/vnd.openxmlformats-officedocument.spreadsheetml.externalLink+xml"/>
  <Override PartName="/xl/externalLinks/externalLink269.xml" ContentType="application/vnd.openxmlformats-officedocument.spreadsheetml.externalLink+xml"/>
  <Override PartName="/xl/externalLinks/externalLink270.xml" ContentType="application/vnd.openxmlformats-officedocument.spreadsheetml.externalLink+xml"/>
  <Override PartName="/xl/externalLinks/externalLink271.xml" ContentType="application/vnd.openxmlformats-officedocument.spreadsheetml.externalLink+xml"/>
  <Override PartName="/xl/externalLinks/externalLink272.xml" ContentType="application/vnd.openxmlformats-officedocument.spreadsheetml.externalLink+xml"/>
  <Override PartName="/xl/externalLinks/externalLink273.xml" ContentType="application/vnd.openxmlformats-officedocument.spreadsheetml.externalLink+xml"/>
  <Override PartName="/xl/externalLinks/externalLink274.xml" ContentType="application/vnd.openxmlformats-officedocument.spreadsheetml.externalLink+xml"/>
  <Override PartName="/xl/externalLinks/externalLink275.xml" ContentType="application/vnd.openxmlformats-officedocument.spreadsheetml.externalLink+xml"/>
  <Override PartName="/xl/externalLinks/externalLink276.xml" ContentType="application/vnd.openxmlformats-officedocument.spreadsheetml.externalLink+xml"/>
  <Override PartName="/xl/externalLinks/externalLink277.xml" ContentType="application/vnd.openxmlformats-officedocument.spreadsheetml.externalLink+xml"/>
  <Override PartName="/xl/externalLinks/externalLink278.xml" ContentType="application/vnd.openxmlformats-officedocument.spreadsheetml.externalLink+xml"/>
  <Override PartName="/xl/externalLinks/externalLink279.xml" ContentType="application/vnd.openxmlformats-officedocument.spreadsheetml.externalLink+xml"/>
  <Override PartName="/xl/externalLinks/externalLink280.xml" ContentType="application/vnd.openxmlformats-officedocument.spreadsheetml.externalLink+xml"/>
  <Override PartName="/xl/externalLinks/externalLink281.xml" ContentType="application/vnd.openxmlformats-officedocument.spreadsheetml.externalLink+xml"/>
  <Override PartName="/xl/externalLinks/externalLink282.xml" ContentType="application/vnd.openxmlformats-officedocument.spreadsheetml.externalLink+xml"/>
  <Override PartName="/xl/externalLinks/externalLink283.xml" ContentType="application/vnd.openxmlformats-officedocument.spreadsheetml.externalLink+xml"/>
  <Override PartName="/xl/externalLinks/externalLink284.xml" ContentType="application/vnd.openxmlformats-officedocument.spreadsheetml.externalLink+xml"/>
  <Override PartName="/xl/externalLinks/externalLink285.xml" ContentType="application/vnd.openxmlformats-officedocument.spreadsheetml.externalLink+xml"/>
  <Override PartName="/xl/externalLinks/externalLink286.xml" ContentType="application/vnd.openxmlformats-officedocument.spreadsheetml.externalLink+xml"/>
  <Override PartName="/xl/externalLinks/externalLink287.xml" ContentType="application/vnd.openxmlformats-officedocument.spreadsheetml.externalLink+xml"/>
  <Override PartName="/xl/externalLinks/externalLink288.xml" ContentType="application/vnd.openxmlformats-officedocument.spreadsheetml.externalLink+xml"/>
  <Override PartName="/xl/externalLinks/externalLink289.xml" ContentType="application/vnd.openxmlformats-officedocument.spreadsheetml.externalLink+xml"/>
  <Override PartName="/xl/externalLinks/externalLink290.xml" ContentType="application/vnd.openxmlformats-officedocument.spreadsheetml.externalLink+xml"/>
  <Override PartName="/xl/externalLinks/externalLink291.xml" ContentType="application/vnd.openxmlformats-officedocument.spreadsheetml.externalLink+xml"/>
  <Override PartName="/xl/externalLinks/externalLink292.xml" ContentType="application/vnd.openxmlformats-officedocument.spreadsheetml.externalLink+xml"/>
  <Override PartName="/xl/externalLinks/externalLink293.xml" ContentType="application/vnd.openxmlformats-officedocument.spreadsheetml.externalLink+xml"/>
  <Override PartName="/xl/externalLinks/externalLink294.xml" ContentType="application/vnd.openxmlformats-officedocument.spreadsheetml.externalLink+xml"/>
  <Override PartName="/xl/externalLinks/externalLink295.xml" ContentType="application/vnd.openxmlformats-officedocument.spreadsheetml.externalLink+xml"/>
  <Override PartName="/xl/externalLinks/externalLink296.xml" ContentType="application/vnd.openxmlformats-officedocument.spreadsheetml.externalLink+xml"/>
  <Override PartName="/xl/externalLinks/externalLink297.xml" ContentType="application/vnd.openxmlformats-officedocument.spreadsheetml.externalLink+xml"/>
  <Override PartName="/xl/externalLinks/externalLink298.xml" ContentType="application/vnd.openxmlformats-officedocument.spreadsheetml.externalLink+xml"/>
  <Override PartName="/xl/externalLinks/externalLink299.xml" ContentType="application/vnd.openxmlformats-officedocument.spreadsheetml.externalLink+xml"/>
  <Override PartName="/xl/externalLinks/externalLink300.xml" ContentType="application/vnd.openxmlformats-officedocument.spreadsheetml.externalLink+xml"/>
  <Override PartName="/xl/externalLinks/externalLink301.xml" ContentType="application/vnd.openxmlformats-officedocument.spreadsheetml.externalLink+xml"/>
  <Override PartName="/xl/externalLinks/externalLink302.xml" ContentType="application/vnd.openxmlformats-officedocument.spreadsheetml.externalLink+xml"/>
  <Override PartName="/xl/externalLinks/externalLink303.xml" ContentType="application/vnd.openxmlformats-officedocument.spreadsheetml.externalLink+xml"/>
  <Override PartName="/xl/externalLinks/externalLink304.xml" ContentType="application/vnd.openxmlformats-officedocument.spreadsheetml.externalLink+xml"/>
  <Override PartName="/xl/externalLinks/externalLink305.xml" ContentType="application/vnd.openxmlformats-officedocument.spreadsheetml.externalLink+xml"/>
  <Override PartName="/xl/externalLinks/externalLink306.xml" ContentType="application/vnd.openxmlformats-officedocument.spreadsheetml.externalLink+xml"/>
  <Override PartName="/xl/externalLinks/externalLink307.xml" ContentType="application/vnd.openxmlformats-officedocument.spreadsheetml.externalLink+xml"/>
  <Override PartName="/xl/externalLinks/externalLink308.xml" ContentType="application/vnd.openxmlformats-officedocument.spreadsheetml.externalLink+xml"/>
  <Override PartName="/xl/externalLinks/externalLink309.xml" ContentType="application/vnd.openxmlformats-officedocument.spreadsheetml.externalLink+xml"/>
  <Override PartName="/xl/externalLinks/externalLink310.xml" ContentType="application/vnd.openxmlformats-officedocument.spreadsheetml.externalLink+xml"/>
  <Override PartName="/xl/externalLinks/externalLink311.xml" ContentType="application/vnd.openxmlformats-officedocument.spreadsheetml.externalLink+xml"/>
  <Override PartName="/xl/externalLinks/externalLink312.xml" ContentType="application/vnd.openxmlformats-officedocument.spreadsheetml.externalLink+xml"/>
  <Override PartName="/xl/externalLinks/externalLink313.xml" ContentType="application/vnd.openxmlformats-officedocument.spreadsheetml.externalLink+xml"/>
  <Override PartName="/xl/externalLinks/externalLink314.xml" ContentType="application/vnd.openxmlformats-officedocument.spreadsheetml.externalLink+xml"/>
  <Override PartName="/xl/externalLinks/externalLink315.xml" ContentType="application/vnd.openxmlformats-officedocument.spreadsheetml.externalLink+xml"/>
  <Override PartName="/xl/externalLinks/externalLink316.xml" ContentType="application/vnd.openxmlformats-officedocument.spreadsheetml.externalLink+xml"/>
  <Override PartName="/xl/externalLinks/externalLink317.xml" ContentType="application/vnd.openxmlformats-officedocument.spreadsheetml.externalLink+xml"/>
  <Override PartName="/xl/externalLinks/externalLink318.xml" ContentType="application/vnd.openxmlformats-officedocument.spreadsheetml.externalLink+xml"/>
  <Override PartName="/xl/externalLinks/externalLink319.xml" ContentType="application/vnd.openxmlformats-officedocument.spreadsheetml.externalLink+xml"/>
  <Override PartName="/xl/externalLinks/externalLink320.xml" ContentType="application/vnd.openxmlformats-officedocument.spreadsheetml.externalLink+xml"/>
  <Override PartName="/xl/externalLinks/externalLink321.xml" ContentType="application/vnd.openxmlformats-officedocument.spreadsheetml.externalLink+xml"/>
  <Override PartName="/xl/externalLinks/externalLink322.xml" ContentType="application/vnd.openxmlformats-officedocument.spreadsheetml.externalLink+xml"/>
  <Override PartName="/xl/externalLinks/externalLink323.xml" ContentType="application/vnd.openxmlformats-officedocument.spreadsheetml.externalLink+xml"/>
  <Override PartName="/xl/externalLinks/externalLink324.xml" ContentType="application/vnd.openxmlformats-officedocument.spreadsheetml.externalLink+xml"/>
  <Override PartName="/xl/externalLinks/externalLink325.xml" ContentType="application/vnd.openxmlformats-officedocument.spreadsheetml.externalLink+xml"/>
  <Override PartName="/xl/externalLinks/externalLink326.xml" ContentType="application/vnd.openxmlformats-officedocument.spreadsheetml.externalLink+xml"/>
  <Override PartName="/xl/externalLinks/externalLink327.xml" ContentType="application/vnd.openxmlformats-officedocument.spreadsheetml.externalLink+xml"/>
  <Override PartName="/xl/externalLinks/externalLink328.xml" ContentType="application/vnd.openxmlformats-officedocument.spreadsheetml.externalLink+xml"/>
  <Override PartName="/xl/externalLinks/externalLink329.xml" ContentType="application/vnd.openxmlformats-officedocument.spreadsheetml.externalLink+xml"/>
  <Override PartName="/xl/externalLinks/externalLink330.xml" ContentType="application/vnd.openxmlformats-officedocument.spreadsheetml.externalLink+xml"/>
  <Override PartName="/xl/externalLinks/externalLink331.xml" ContentType="application/vnd.openxmlformats-officedocument.spreadsheetml.externalLink+xml"/>
  <Override PartName="/xl/externalLinks/externalLink332.xml" ContentType="application/vnd.openxmlformats-officedocument.spreadsheetml.externalLink+xml"/>
  <Override PartName="/xl/externalLinks/externalLink333.xml" ContentType="application/vnd.openxmlformats-officedocument.spreadsheetml.externalLink+xml"/>
  <Override PartName="/xl/externalLinks/externalLink334.xml" ContentType="application/vnd.openxmlformats-officedocument.spreadsheetml.externalLink+xml"/>
  <Override PartName="/xl/externalLinks/externalLink335.xml" ContentType="application/vnd.openxmlformats-officedocument.spreadsheetml.externalLink+xml"/>
  <Override PartName="/xl/externalLinks/externalLink336.xml" ContentType="application/vnd.openxmlformats-officedocument.spreadsheetml.externalLink+xml"/>
  <Override PartName="/xl/externalLinks/externalLink337.xml" ContentType="application/vnd.openxmlformats-officedocument.spreadsheetml.externalLink+xml"/>
  <Override PartName="/xl/externalLinks/externalLink338.xml" ContentType="application/vnd.openxmlformats-officedocument.spreadsheetml.externalLink+xml"/>
  <Override PartName="/xl/externalLinks/externalLink339.xml" ContentType="application/vnd.openxmlformats-officedocument.spreadsheetml.externalLink+xml"/>
  <Override PartName="/xl/externalLinks/externalLink340.xml" ContentType="application/vnd.openxmlformats-officedocument.spreadsheetml.externalLink+xml"/>
  <Override PartName="/xl/externalLinks/externalLink341.xml" ContentType="application/vnd.openxmlformats-officedocument.spreadsheetml.externalLink+xml"/>
  <Override PartName="/xl/externalLinks/externalLink342.xml" ContentType="application/vnd.openxmlformats-officedocument.spreadsheetml.externalLink+xml"/>
  <Override PartName="/xl/externalLinks/externalLink343.xml" ContentType="application/vnd.openxmlformats-officedocument.spreadsheetml.externalLink+xml"/>
  <Override PartName="/xl/externalLinks/externalLink344.xml" ContentType="application/vnd.openxmlformats-officedocument.spreadsheetml.externalLink+xml"/>
  <Override PartName="/xl/externalLinks/externalLink345.xml" ContentType="application/vnd.openxmlformats-officedocument.spreadsheetml.externalLink+xml"/>
  <Override PartName="/xl/externalLinks/externalLink346.xml" ContentType="application/vnd.openxmlformats-officedocument.spreadsheetml.externalLink+xml"/>
  <Override PartName="/xl/externalLinks/externalLink347.xml" ContentType="application/vnd.openxmlformats-officedocument.spreadsheetml.externalLink+xml"/>
  <Override PartName="/xl/externalLinks/externalLink348.xml" ContentType="application/vnd.openxmlformats-officedocument.spreadsheetml.externalLink+xml"/>
  <Override PartName="/xl/externalLinks/externalLink349.xml" ContentType="application/vnd.openxmlformats-officedocument.spreadsheetml.externalLink+xml"/>
  <Override PartName="/xl/externalLinks/externalLink350.xml" ContentType="application/vnd.openxmlformats-officedocument.spreadsheetml.externalLink+xml"/>
  <Override PartName="/xl/externalLinks/externalLink351.xml" ContentType="application/vnd.openxmlformats-officedocument.spreadsheetml.externalLink+xml"/>
  <Override PartName="/xl/externalLinks/externalLink352.xml" ContentType="application/vnd.openxmlformats-officedocument.spreadsheetml.externalLink+xml"/>
  <Override PartName="/xl/externalLinks/externalLink353.xml" ContentType="application/vnd.openxmlformats-officedocument.spreadsheetml.externalLink+xml"/>
  <Override PartName="/xl/externalLinks/externalLink354.xml" ContentType="application/vnd.openxmlformats-officedocument.spreadsheetml.externalLink+xml"/>
  <Override PartName="/xl/externalLinks/externalLink355.xml" ContentType="application/vnd.openxmlformats-officedocument.spreadsheetml.externalLink+xml"/>
  <Override PartName="/xl/externalLinks/externalLink356.xml" ContentType="application/vnd.openxmlformats-officedocument.spreadsheetml.externalLink+xml"/>
  <Override PartName="/xl/externalLinks/externalLink357.xml" ContentType="application/vnd.openxmlformats-officedocument.spreadsheetml.externalLink+xml"/>
  <Override PartName="/xl/externalLinks/externalLink358.xml" ContentType="application/vnd.openxmlformats-officedocument.spreadsheetml.externalLink+xml"/>
  <Override PartName="/xl/externalLinks/externalLink359.xml" ContentType="application/vnd.openxmlformats-officedocument.spreadsheetml.externalLink+xml"/>
  <Override PartName="/xl/externalLinks/externalLink360.xml" ContentType="application/vnd.openxmlformats-officedocument.spreadsheetml.externalLink+xml"/>
  <Override PartName="/xl/externalLinks/externalLink361.xml" ContentType="application/vnd.openxmlformats-officedocument.spreadsheetml.externalLink+xml"/>
  <Override PartName="/xl/externalLinks/externalLink362.xml" ContentType="application/vnd.openxmlformats-officedocument.spreadsheetml.externalLink+xml"/>
  <Override PartName="/xl/externalLinks/externalLink363.xml" ContentType="application/vnd.openxmlformats-officedocument.spreadsheetml.externalLink+xml"/>
  <Override PartName="/xl/externalLinks/externalLink364.xml" ContentType="application/vnd.openxmlformats-officedocument.spreadsheetml.externalLink+xml"/>
  <Override PartName="/xl/externalLinks/externalLink365.xml" ContentType="application/vnd.openxmlformats-officedocument.spreadsheetml.externalLink+xml"/>
  <Override PartName="/xl/externalLinks/externalLink366.xml" ContentType="application/vnd.openxmlformats-officedocument.spreadsheetml.externalLink+xml"/>
  <Override PartName="/xl/externalLinks/externalLink367.xml" ContentType="application/vnd.openxmlformats-officedocument.spreadsheetml.externalLink+xml"/>
  <Override PartName="/xl/externalLinks/externalLink368.xml" ContentType="application/vnd.openxmlformats-officedocument.spreadsheetml.externalLink+xml"/>
  <Override PartName="/xl/externalLinks/externalLink369.xml" ContentType="application/vnd.openxmlformats-officedocument.spreadsheetml.externalLink+xml"/>
  <Override PartName="/xl/externalLinks/externalLink370.xml" ContentType="application/vnd.openxmlformats-officedocument.spreadsheetml.externalLink+xml"/>
  <Override PartName="/xl/externalLinks/externalLink371.xml" ContentType="application/vnd.openxmlformats-officedocument.spreadsheetml.externalLink+xml"/>
  <Override PartName="/xl/externalLinks/externalLink372.xml" ContentType="application/vnd.openxmlformats-officedocument.spreadsheetml.externalLink+xml"/>
  <Override PartName="/xl/externalLinks/externalLink373.xml" ContentType="application/vnd.openxmlformats-officedocument.spreadsheetml.externalLink+xml"/>
  <Override PartName="/xl/externalLinks/externalLink374.xml" ContentType="application/vnd.openxmlformats-officedocument.spreadsheetml.externalLink+xml"/>
  <Override PartName="/xl/externalLinks/externalLink375.xml" ContentType="application/vnd.openxmlformats-officedocument.spreadsheetml.externalLink+xml"/>
  <Override PartName="/xl/externalLinks/externalLink376.xml" ContentType="application/vnd.openxmlformats-officedocument.spreadsheetml.externalLink+xml"/>
  <Override PartName="/xl/externalLinks/externalLink377.xml" ContentType="application/vnd.openxmlformats-officedocument.spreadsheetml.externalLink+xml"/>
  <Override PartName="/xl/externalLinks/externalLink378.xml" ContentType="application/vnd.openxmlformats-officedocument.spreadsheetml.externalLink+xml"/>
  <Override PartName="/xl/externalLinks/externalLink379.xml" ContentType="application/vnd.openxmlformats-officedocument.spreadsheetml.externalLink+xml"/>
  <Override PartName="/xl/externalLinks/externalLink380.xml" ContentType="application/vnd.openxmlformats-officedocument.spreadsheetml.externalLink+xml"/>
  <Override PartName="/xl/externalLinks/externalLink381.xml" ContentType="application/vnd.openxmlformats-officedocument.spreadsheetml.externalLink+xml"/>
  <Override PartName="/xl/externalLinks/externalLink382.xml" ContentType="application/vnd.openxmlformats-officedocument.spreadsheetml.externalLink+xml"/>
  <Override PartName="/xl/externalLinks/externalLink383.xml" ContentType="application/vnd.openxmlformats-officedocument.spreadsheetml.externalLink+xml"/>
  <Override PartName="/xl/externalLinks/externalLink384.xml" ContentType="application/vnd.openxmlformats-officedocument.spreadsheetml.externalLink+xml"/>
  <Override PartName="/xl/externalLinks/externalLink385.xml" ContentType="application/vnd.openxmlformats-officedocument.spreadsheetml.externalLink+xml"/>
  <Override PartName="/xl/externalLinks/externalLink386.xml" ContentType="application/vnd.openxmlformats-officedocument.spreadsheetml.externalLink+xml"/>
  <Override PartName="/xl/externalLinks/externalLink387.xml" ContentType="application/vnd.openxmlformats-officedocument.spreadsheetml.externalLink+xml"/>
  <Override PartName="/xl/externalLinks/externalLink388.xml" ContentType="application/vnd.openxmlformats-officedocument.spreadsheetml.externalLink+xml"/>
  <Override PartName="/xl/externalLinks/externalLink389.xml" ContentType="application/vnd.openxmlformats-officedocument.spreadsheetml.externalLink+xml"/>
  <Override PartName="/xl/externalLinks/externalLink390.xml" ContentType="application/vnd.openxmlformats-officedocument.spreadsheetml.externalLink+xml"/>
  <Override PartName="/xl/externalLinks/externalLink391.xml" ContentType="application/vnd.openxmlformats-officedocument.spreadsheetml.externalLink+xml"/>
  <Override PartName="/xl/externalLinks/externalLink392.xml" ContentType="application/vnd.openxmlformats-officedocument.spreadsheetml.externalLink+xml"/>
  <Override PartName="/xl/externalLinks/externalLink393.xml" ContentType="application/vnd.openxmlformats-officedocument.spreadsheetml.externalLink+xml"/>
  <Override PartName="/xl/externalLinks/externalLink394.xml" ContentType="application/vnd.openxmlformats-officedocument.spreadsheetml.externalLink+xml"/>
  <Override PartName="/xl/externalLinks/externalLink395.xml" ContentType="application/vnd.openxmlformats-officedocument.spreadsheetml.externalLink+xml"/>
  <Override PartName="/xl/externalLinks/externalLink396.xml" ContentType="application/vnd.openxmlformats-officedocument.spreadsheetml.externalLink+xml"/>
  <Override PartName="/xl/externalLinks/externalLink397.xml" ContentType="application/vnd.openxmlformats-officedocument.spreadsheetml.externalLink+xml"/>
  <Override PartName="/xl/externalLinks/externalLink398.xml" ContentType="application/vnd.openxmlformats-officedocument.spreadsheetml.externalLink+xml"/>
  <Override PartName="/xl/externalLinks/externalLink399.xml" ContentType="application/vnd.openxmlformats-officedocument.spreadsheetml.externalLink+xml"/>
  <Override PartName="/xl/externalLinks/externalLink400.xml" ContentType="application/vnd.openxmlformats-officedocument.spreadsheetml.externalLink+xml"/>
  <Override PartName="/xl/externalLinks/externalLink401.xml" ContentType="application/vnd.openxmlformats-officedocument.spreadsheetml.externalLink+xml"/>
  <Override PartName="/xl/externalLinks/externalLink402.xml" ContentType="application/vnd.openxmlformats-officedocument.spreadsheetml.externalLink+xml"/>
  <Override PartName="/xl/externalLinks/externalLink403.xml" ContentType="application/vnd.openxmlformats-officedocument.spreadsheetml.externalLink+xml"/>
  <Override PartName="/xl/externalLinks/externalLink404.xml" ContentType="application/vnd.openxmlformats-officedocument.spreadsheetml.externalLink+xml"/>
  <Override PartName="/xl/externalLinks/externalLink405.xml" ContentType="application/vnd.openxmlformats-officedocument.spreadsheetml.externalLink+xml"/>
  <Override PartName="/xl/externalLinks/externalLink406.xml" ContentType="application/vnd.openxmlformats-officedocument.spreadsheetml.externalLink+xml"/>
  <Override PartName="/xl/externalLinks/externalLink407.xml" ContentType="application/vnd.openxmlformats-officedocument.spreadsheetml.externalLink+xml"/>
  <Override PartName="/xl/externalLinks/externalLink408.xml" ContentType="application/vnd.openxmlformats-officedocument.spreadsheetml.externalLink+xml"/>
  <Override PartName="/xl/externalLinks/externalLink409.xml" ContentType="application/vnd.openxmlformats-officedocument.spreadsheetml.externalLink+xml"/>
  <Override PartName="/xl/externalLinks/externalLink410.xml" ContentType="application/vnd.openxmlformats-officedocument.spreadsheetml.externalLink+xml"/>
  <Override PartName="/xl/externalLinks/externalLink411.xml" ContentType="application/vnd.openxmlformats-officedocument.spreadsheetml.externalLink+xml"/>
  <Override PartName="/xl/externalLinks/externalLink412.xml" ContentType="application/vnd.openxmlformats-officedocument.spreadsheetml.externalLink+xml"/>
  <Override PartName="/xl/externalLinks/externalLink413.xml" ContentType="application/vnd.openxmlformats-officedocument.spreadsheetml.externalLink+xml"/>
  <Override PartName="/xl/externalLinks/externalLink414.xml" ContentType="application/vnd.openxmlformats-officedocument.spreadsheetml.externalLink+xml"/>
  <Override PartName="/xl/externalLinks/externalLink415.xml" ContentType="application/vnd.openxmlformats-officedocument.spreadsheetml.externalLink+xml"/>
  <Override PartName="/xl/externalLinks/externalLink416.xml" ContentType="application/vnd.openxmlformats-officedocument.spreadsheetml.externalLink+xml"/>
  <Override PartName="/xl/externalLinks/externalLink417.xml" ContentType="application/vnd.openxmlformats-officedocument.spreadsheetml.externalLink+xml"/>
  <Override PartName="/xl/externalLinks/externalLink418.xml" ContentType="application/vnd.openxmlformats-officedocument.spreadsheetml.externalLink+xml"/>
  <Override PartName="/xl/externalLinks/externalLink419.xml" ContentType="application/vnd.openxmlformats-officedocument.spreadsheetml.externalLink+xml"/>
  <Override PartName="/xl/externalLinks/externalLink420.xml" ContentType="application/vnd.openxmlformats-officedocument.spreadsheetml.externalLink+xml"/>
  <Override PartName="/xl/externalLinks/externalLink421.xml" ContentType="application/vnd.openxmlformats-officedocument.spreadsheetml.externalLink+xml"/>
  <Override PartName="/xl/externalLinks/externalLink422.xml" ContentType="application/vnd.openxmlformats-officedocument.spreadsheetml.externalLink+xml"/>
  <Override PartName="/xl/externalLinks/externalLink423.xml" ContentType="application/vnd.openxmlformats-officedocument.spreadsheetml.externalLink+xml"/>
  <Override PartName="/xl/externalLinks/externalLink424.xml" ContentType="application/vnd.openxmlformats-officedocument.spreadsheetml.externalLink+xml"/>
  <Override PartName="/xl/externalLinks/externalLink425.xml" ContentType="application/vnd.openxmlformats-officedocument.spreadsheetml.externalLink+xml"/>
  <Override PartName="/xl/externalLinks/externalLink426.xml" ContentType="application/vnd.openxmlformats-officedocument.spreadsheetml.externalLink+xml"/>
  <Override PartName="/xl/externalLinks/externalLink427.xml" ContentType="application/vnd.openxmlformats-officedocument.spreadsheetml.externalLink+xml"/>
  <Override PartName="/xl/externalLinks/externalLink428.xml" ContentType="application/vnd.openxmlformats-officedocument.spreadsheetml.externalLink+xml"/>
  <Override PartName="/xl/externalLinks/externalLink429.xml" ContentType="application/vnd.openxmlformats-officedocument.spreadsheetml.externalLink+xml"/>
  <Override PartName="/xl/externalLinks/externalLink430.xml" ContentType="application/vnd.openxmlformats-officedocument.spreadsheetml.externalLink+xml"/>
  <Override PartName="/xl/externalLinks/externalLink431.xml" ContentType="application/vnd.openxmlformats-officedocument.spreadsheetml.externalLink+xml"/>
  <Override PartName="/xl/externalLinks/externalLink432.xml" ContentType="application/vnd.openxmlformats-officedocument.spreadsheetml.externalLink+xml"/>
  <Override PartName="/xl/externalLinks/externalLink433.xml" ContentType="application/vnd.openxmlformats-officedocument.spreadsheetml.externalLink+xml"/>
  <Override PartName="/xl/externalLinks/externalLink434.xml" ContentType="application/vnd.openxmlformats-officedocument.spreadsheetml.externalLink+xml"/>
  <Override PartName="/xl/externalLinks/externalLink435.xml" ContentType="application/vnd.openxmlformats-officedocument.spreadsheetml.externalLink+xml"/>
  <Override PartName="/xl/externalLinks/externalLink436.xml" ContentType="application/vnd.openxmlformats-officedocument.spreadsheetml.externalLink+xml"/>
  <Override PartName="/xl/externalLinks/externalLink437.xml" ContentType="application/vnd.openxmlformats-officedocument.spreadsheetml.externalLink+xml"/>
  <Override PartName="/xl/externalLinks/externalLink438.xml" ContentType="application/vnd.openxmlformats-officedocument.spreadsheetml.externalLink+xml"/>
  <Override PartName="/xl/externalLinks/externalLink439.xml" ContentType="application/vnd.openxmlformats-officedocument.spreadsheetml.externalLink+xml"/>
  <Override PartName="/xl/externalLinks/externalLink440.xml" ContentType="application/vnd.openxmlformats-officedocument.spreadsheetml.externalLink+xml"/>
  <Override PartName="/xl/externalLinks/externalLink441.xml" ContentType="application/vnd.openxmlformats-officedocument.spreadsheetml.externalLink+xml"/>
  <Override PartName="/xl/externalLinks/externalLink442.xml" ContentType="application/vnd.openxmlformats-officedocument.spreadsheetml.externalLink+xml"/>
  <Override PartName="/xl/externalLinks/externalLink443.xml" ContentType="application/vnd.openxmlformats-officedocument.spreadsheetml.externalLink+xml"/>
  <Override PartName="/xl/externalLinks/externalLink444.xml" ContentType="application/vnd.openxmlformats-officedocument.spreadsheetml.externalLink+xml"/>
  <Override PartName="/xl/externalLinks/externalLink445.xml" ContentType="application/vnd.openxmlformats-officedocument.spreadsheetml.externalLink+xml"/>
  <Override PartName="/xl/externalLinks/externalLink446.xml" ContentType="application/vnd.openxmlformats-officedocument.spreadsheetml.externalLink+xml"/>
  <Override PartName="/xl/externalLinks/externalLink447.xml" ContentType="application/vnd.openxmlformats-officedocument.spreadsheetml.externalLink+xml"/>
  <Override PartName="/xl/externalLinks/externalLink448.xml" ContentType="application/vnd.openxmlformats-officedocument.spreadsheetml.externalLink+xml"/>
  <Override PartName="/xl/externalLinks/externalLink449.xml" ContentType="application/vnd.openxmlformats-officedocument.spreadsheetml.externalLink+xml"/>
  <Override PartName="/xl/externalLinks/externalLink450.xml" ContentType="application/vnd.openxmlformats-officedocument.spreadsheetml.externalLink+xml"/>
  <Override PartName="/xl/externalLinks/externalLink451.xml" ContentType="application/vnd.openxmlformats-officedocument.spreadsheetml.externalLink+xml"/>
  <Override PartName="/xl/externalLinks/externalLink452.xml" ContentType="application/vnd.openxmlformats-officedocument.spreadsheetml.externalLink+xml"/>
  <Override PartName="/xl/externalLinks/externalLink453.xml" ContentType="application/vnd.openxmlformats-officedocument.spreadsheetml.externalLink+xml"/>
  <Override PartName="/xl/externalLinks/externalLink454.xml" ContentType="application/vnd.openxmlformats-officedocument.spreadsheetml.externalLink+xml"/>
  <Override PartName="/xl/externalLinks/externalLink455.xml" ContentType="application/vnd.openxmlformats-officedocument.spreadsheetml.externalLink+xml"/>
  <Override PartName="/xl/externalLinks/externalLink456.xml" ContentType="application/vnd.openxmlformats-officedocument.spreadsheetml.externalLink+xml"/>
  <Override PartName="/xl/externalLinks/externalLink457.xml" ContentType="application/vnd.openxmlformats-officedocument.spreadsheetml.externalLink+xml"/>
  <Override PartName="/xl/externalLinks/externalLink458.xml" ContentType="application/vnd.openxmlformats-officedocument.spreadsheetml.externalLink+xml"/>
  <Override PartName="/xl/externalLinks/externalLink459.xml" ContentType="application/vnd.openxmlformats-officedocument.spreadsheetml.externalLink+xml"/>
  <Override PartName="/xl/externalLinks/externalLink460.xml" ContentType="application/vnd.openxmlformats-officedocument.spreadsheetml.externalLink+xml"/>
  <Override PartName="/xl/externalLinks/externalLink461.xml" ContentType="application/vnd.openxmlformats-officedocument.spreadsheetml.externalLink+xml"/>
  <Override PartName="/xl/externalLinks/externalLink462.xml" ContentType="application/vnd.openxmlformats-officedocument.spreadsheetml.externalLink+xml"/>
  <Override PartName="/xl/externalLinks/externalLink463.xml" ContentType="application/vnd.openxmlformats-officedocument.spreadsheetml.externalLink+xml"/>
  <Override PartName="/xl/externalLinks/externalLink464.xml" ContentType="application/vnd.openxmlformats-officedocument.spreadsheetml.externalLink+xml"/>
  <Override PartName="/xl/externalLinks/externalLink465.xml" ContentType="application/vnd.openxmlformats-officedocument.spreadsheetml.externalLink+xml"/>
  <Override PartName="/xl/externalLinks/externalLink466.xml" ContentType="application/vnd.openxmlformats-officedocument.spreadsheetml.externalLink+xml"/>
  <Override PartName="/xl/externalLinks/externalLink467.xml" ContentType="application/vnd.openxmlformats-officedocument.spreadsheetml.externalLink+xml"/>
  <Override PartName="/xl/externalLinks/externalLink468.xml" ContentType="application/vnd.openxmlformats-officedocument.spreadsheetml.externalLink+xml"/>
  <Override PartName="/xl/externalLinks/externalLink469.xml" ContentType="application/vnd.openxmlformats-officedocument.spreadsheetml.externalLink+xml"/>
  <Override PartName="/xl/externalLinks/externalLink470.xml" ContentType="application/vnd.openxmlformats-officedocument.spreadsheetml.externalLink+xml"/>
  <Override PartName="/xl/externalLinks/externalLink471.xml" ContentType="application/vnd.openxmlformats-officedocument.spreadsheetml.externalLink+xml"/>
  <Override PartName="/xl/externalLinks/externalLink472.xml" ContentType="application/vnd.openxmlformats-officedocument.spreadsheetml.externalLink+xml"/>
  <Override PartName="/xl/externalLinks/externalLink473.xml" ContentType="application/vnd.openxmlformats-officedocument.spreadsheetml.externalLink+xml"/>
  <Override PartName="/xl/externalLinks/externalLink474.xml" ContentType="application/vnd.openxmlformats-officedocument.spreadsheetml.externalLink+xml"/>
  <Override PartName="/xl/externalLinks/externalLink475.xml" ContentType="application/vnd.openxmlformats-officedocument.spreadsheetml.externalLink+xml"/>
  <Override PartName="/xl/externalLinks/externalLink476.xml" ContentType="application/vnd.openxmlformats-officedocument.spreadsheetml.externalLink+xml"/>
  <Override PartName="/xl/externalLinks/externalLink477.xml" ContentType="application/vnd.openxmlformats-officedocument.spreadsheetml.externalLink+xml"/>
  <Override PartName="/xl/externalLinks/externalLink478.xml" ContentType="application/vnd.openxmlformats-officedocument.spreadsheetml.externalLink+xml"/>
  <Override PartName="/xl/externalLinks/externalLink479.xml" ContentType="application/vnd.openxmlformats-officedocument.spreadsheetml.externalLink+xml"/>
  <Override PartName="/xl/externalLinks/externalLink480.xml" ContentType="application/vnd.openxmlformats-officedocument.spreadsheetml.externalLink+xml"/>
  <Override PartName="/xl/externalLinks/externalLink481.xml" ContentType="application/vnd.openxmlformats-officedocument.spreadsheetml.externalLink+xml"/>
  <Override PartName="/xl/externalLinks/externalLink482.xml" ContentType="application/vnd.openxmlformats-officedocument.spreadsheetml.externalLink+xml"/>
  <Override PartName="/xl/externalLinks/externalLink483.xml" ContentType="application/vnd.openxmlformats-officedocument.spreadsheetml.externalLink+xml"/>
  <Override PartName="/xl/externalLinks/externalLink484.xml" ContentType="application/vnd.openxmlformats-officedocument.spreadsheetml.externalLink+xml"/>
  <Override PartName="/xl/externalLinks/externalLink485.xml" ContentType="application/vnd.openxmlformats-officedocument.spreadsheetml.externalLink+xml"/>
  <Override PartName="/xl/externalLinks/externalLink486.xml" ContentType="application/vnd.openxmlformats-officedocument.spreadsheetml.externalLink+xml"/>
  <Override PartName="/xl/externalLinks/externalLink487.xml" ContentType="application/vnd.openxmlformats-officedocument.spreadsheetml.externalLink+xml"/>
  <Override PartName="/xl/externalLinks/externalLink488.xml" ContentType="application/vnd.openxmlformats-officedocument.spreadsheetml.externalLink+xml"/>
  <Override PartName="/xl/externalLinks/externalLink489.xml" ContentType="application/vnd.openxmlformats-officedocument.spreadsheetml.externalLink+xml"/>
  <Override PartName="/xl/externalLinks/externalLink490.xml" ContentType="application/vnd.openxmlformats-officedocument.spreadsheetml.externalLink+xml"/>
  <Override PartName="/xl/externalLinks/externalLink491.xml" ContentType="application/vnd.openxmlformats-officedocument.spreadsheetml.externalLink+xml"/>
  <Override PartName="/xl/externalLinks/externalLink492.xml" ContentType="application/vnd.openxmlformats-officedocument.spreadsheetml.externalLink+xml"/>
  <Override PartName="/xl/externalLinks/externalLink493.xml" ContentType="application/vnd.openxmlformats-officedocument.spreadsheetml.externalLink+xml"/>
  <Override PartName="/xl/externalLinks/externalLink494.xml" ContentType="application/vnd.openxmlformats-officedocument.spreadsheetml.externalLink+xml"/>
  <Override PartName="/xl/externalLinks/externalLink495.xml" ContentType="application/vnd.openxmlformats-officedocument.spreadsheetml.externalLink+xml"/>
  <Override PartName="/xl/externalLinks/externalLink496.xml" ContentType="application/vnd.openxmlformats-officedocument.spreadsheetml.externalLink+xml"/>
  <Override PartName="/xl/externalLinks/externalLink497.xml" ContentType="application/vnd.openxmlformats-officedocument.spreadsheetml.externalLink+xml"/>
  <Override PartName="/xl/externalLinks/externalLink498.xml" ContentType="application/vnd.openxmlformats-officedocument.spreadsheetml.externalLink+xml"/>
  <Override PartName="/xl/externalLinks/externalLink499.xml" ContentType="application/vnd.openxmlformats-officedocument.spreadsheetml.externalLink+xml"/>
  <Override PartName="/xl/externalLinks/externalLink500.xml" ContentType="application/vnd.openxmlformats-officedocument.spreadsheetml.externalLink+xml"/>
  <Override PartName="/xl/externalLinks/externalLink501.xml" ContentType="application/vnd.openxmlformats-officedocument.spreadsheetml.externalLink+xml"/>
  <Override PartName="/xl/externalLinks/externalLink502.xml" ContentType="application/vnd.openxmlformats-officedocument.spreadsheetml.externalLink+xml"/>
  <Override PartName="/xl/externalLinks/externalLink503.xml" ContentType="application/vnd.openxmlformats-officedocument.spreadsheetml.externalLink+xml"/>
  <Override PartName="/xl/externalLinks/externalLink504.xml" ContentType="application/vnd.openxmlformats-officedocument.spreadsheetml.externalLink+xml"/>
  <Override PartName="/xl/externalLinks/externalLink505.xml" ContentType="application/vnd.openxmlformats-officedocument.spreadsheetml.externalLink+xml"/>
  <Override PartName="/xl/externalLinks/externalLink506.xml" ContentType="application/vnd.openxmlformats-officedocument.spreadsheetml.externalLink+xml"/>
  <Override PartName="/xl/externalLinks/externalLink507.xml" ContentType="application/vnd.openxmlformats-officedocument.spreadsheetml.externalLink+xml"/>
  <Override PartName="/xl/externalLinks/externalLink508.xml" ContentType="application/vnd.openxmlformats-officedocument.spreadsheetml.externalLink+xml"/>
  <Override PartName="/xl/externalLinks/externalLink509.xml" ContentType="application/vnd.openxmlformats-officedocument.spreadsheetml.externalLink+xml"/>
  <Override PartName="/xl/externalLinks/externalLink510.xml" ContentType="application/vnd.openxmlformats-officedocument.spreadsheetml.externalLink+xml"/>
  <Override PartName="/xl/externalLinks/externalLink511.xml" ContentType="application/vnd.openxmlformats-officedocument.spreadsheetml.externalLink+xml"/>
  <Override PartName="/xl/externalLinks/externalLink512.xml" ContentType="application/vnd.openxmlformats-officedocument.spreadsheetml.externalLink+xml"/>
  <Override PartName="/xl/externalLinks/externalLink513.xml" ContentType="application/vnd.openxmlformats-officedocument.spreadsheetml.externalLink+xml"/>
  <Override PartName="/xl/externalLinks/externalLink514.xml" ContentType="application/vnd.openxmlformats-officedocument.spreadsheetml.externalLink+xml"/>
  <Override PartName="/xl/externalLinks/externalLink515.xml" ContentType="application/vnd.openxmlformats-officedocument.spreadsheetml.externalLink+xml"/>
  <Override PartName="/xl/externalLinks/externalLink516.xml" ContentType="application/vnd.openxmlformats-officedocument.spreadsheetml.externalLink+xml"/>
  <Override PartName="/xl/externalLinks/externalLink517.xml" ContentType="application/vnd.openxmlformats-officedocument.spreadsheetml.externalLink+xml"/>
  <Override PartName="/xl/externalLinks/externalLink518.xml" ContentType="application/vnd.openxmlformats-officedocument.spreadsheetml.externalLink+xml"/>
  <Override PartName="/xl/externalLinks/externalLink519.xml" ContentType="application/vnd.openxmlformats-officedocument.spreadsheetml.externalLink+xml"/>
  <Override PartName="/xl/externalLinks/externalLink520.xml" ContentType="application/vnd.openxmlformats-officedocument.spreadsheetml.externalLink+xml"/>
  <Override PartName="/xl/externalLinks/externalLink521.xml" ContentType="application/vnd.openxmlformats-officedocument.spreadsheetml.externalLink+xml"/>
  <Override PartName="/xl/externalLinks/externalLink522.xml" ContentType="application/vnd.openxmlformats-officedocument.spreadsheetml.externalLink+xml"/>
  <Override PartName="/xl/externalLinks/externalLink523.xml" ContentType="application/vnd.openxmlformats-officedocument.spreadsheetml.externalLink+xml"/>
  <Override PartName="/xl/externalLinks/externalLink524.xml" ContentType="application/vnd.openxmlformats-officedocument.spreadsheetml.externalLink+xml"/>
  <Override PartName="/xl/externalLinks/externalLink525.xml" ContentType="application/vnd.openxmlformats-officedocument.spreadsheetml.externalLink+xml"/>
  <Override PartName="/xl/externalLinks/externalLink526.xml" ContentType="application/vnd.openxmlformats-officedocument.spreadsheetml.externalLink+xml"/>
  <Override PartName="/xl/externalLinks/externalLink527.xml" ContentType="application/vnd.openxmlformats-officedocument.spreadsheetml.externalLink+xml"/>
  <Override PartName="/xl/externalLinks/externalLink528.xml" ContentType="application/vnd.openxmlformats-officedocument.spreadsheetml.externalLink+xml"/>
  <Override PartName="/xl/externalLinks/externalLink529.xml" ContentType="application/vnd.openxmlformats-officedocument.spreadsheetml.externalLink+xml"/>
  <Override PartName="/xl/externalLinks/externalLink530.xml" ContentType="application/vnd.openxmlformats-officedocument.spreadsheetml.externalLink+xml"/>
  <Override PartName="/xl/externalLinks/externalLink531.xml" ContentType="application/vnd.openxmlformats-officedocument.spreadsheetml.externalLink+xml"/>
  <Override PartName="/xl/externalLinks/externalLink532.xml" ContentType="application/vnd.openxmlformats-officedocument.spreadsheetml.externalLink+xml"/>
  <Override PartName="/xl/externalLinks/externalLink533.xml" ContentType="application/vnd.openxmlformats-officedocument.spreadsheetml.externalLink+xml"/>
  <Override PartName="/xl/externalLinks/externalLink534.xml" ContentType="application/vnd.openxmlformats-officedocument.spreadsheetml.externalLink+xml"/>
  <Override PartName="/xl/externalLinks/externalLink535.xml" ContentType="application/vnd.openxmlformats-officedocument.spreadsheetml.externalLink+xml"/>
  <Override PartName="/xl/externalLinks/externalLink536.xml" ContentType="application/vnd.openxmlformats-officedocument.spreadsheetml.externalLink+xml"/>
  <Override PartName="/xl/externalLinks/externalLink537.xml" ContentType="application/vnd.openxmlformats-officedocument.spreadsheetml.externalLink+xml"/>
  <Override PartName="/xl/externalLinks/externalLink538.xml" ContentType="application/vnd.openxmlformats-officedocument.spreadsheetml.externalLink+xml"/>
  <Override PartName="/xl/externalLinks/externalLink539.xml" ContentType="application/vnd.openxmlformats-officedocument.spreadsheetml.externalLink+xml"/>
  <Override PartName="/xl/externalLinks/externalLink540.xml" ContentType="application/vnd.openxmlformats-officedocument.spreadsheetml.externalLink+xml"/>
  <Override PartName="/xl/externalLinks/externalLink541.xml" ContentType="application/vnd.openxmlformats-officedocument.spreadsheetml.externalLink+xml"/>
  <Override PartName="/xl/externalLinks/externalLink542.xml" ContentType="application/vnd.openxmlformats-officedocument.spreadsheetml.externalLink+xml"/>
  <Override PartName="/xl/externalLinks/externalLink543.xml" ContentType="application/vnd.openxmlformats-officedocument.spreadsheetml.externalLink+xml"/>
  <Override PartName="/xl/externalLinks/externalLink544.xml" ContentType="application/vnd.openxmlformats-officedocument.spreadsheetml.externalLink+xml"/>
  <Override PartName="/xl/externalLinks/externalLink545.xml" ContentType="application/vnd.openxmlformats-officedocument.spreadsheetml.externalLink+xml"/>
  <Override PartName="/xl/externalLinks/externalLink546.xml" ContentType="application/vnd.openxmlformats-officedocument.spreadsheetml.externalLink+xml"/>
  <Override PartName="/xl/externalLinks/externalLink547.xml" ContentType="application/vnd.openxmlformats-officedocument.spreadsheetml.externalLink+xml"/>
  <Override PartName="/xl/externalLinks/externalLink548.xml" ContentType="application/vnd.openxmlformats-officedocument.spreadsheetml.externalLink+xml"/>
  <Override PartName="/xl/externalLinks/externalLink549.xml" ContentType="application/vnd.openxmlformats-officedocument.spreadsheetml.externalLink+xml"/>
  <Override PartName="/xl/externalLinks/externalLink550.xml" ContentType="application/vnd.openxmlformats-officedocument.spreadsheetml.externalLink+xml"/>
  <Override PartName="/xl/externalLinks/externalLink551.xml" ContentType="application/vnd.openxmlformats-officedocument.spreadsheetml.externalLink+xml"/>
  <Override PartName="/xl/externalLinks/externalLink552.xml" ContentType="application/vnd.openxmlformats-officedocument.spreadsheetml.externalLink+xml"/>
  <Override PartName="/xl/externalLinks/externalLink553.xml" ContentType="application/vnd.openxmlformats-officedocument.spreadsheetml.externalLink+xml"/>
  <Override PartName="/xl/externalLinks/externalLink554.xml" ContentType="application/vnd.openxmlformats-officedocument.spreadsheetml.externalLink+xml"/>
  <Override PartName="/xl/externalLinks/externalLink555.xml" ContentType="application/vnd.openxmlformats-officedocument.spreadsheetml.externalLink+xml"/>
  <Override PartName="/xl/externalLinks/externalLink556.xml" ContentType="application/vnd.openxmlformats-officedocument.spreadsheetml.externalLink+xml"/>
  <Override PartName="/xl/externalLinks/externalLink557.xml" ContentType="application/vnd.openxmlformats-officedocument.spreadsheetml.externalLink+xml"/>
  <Override PartName="/xl/externalLinks/externalLink558.xml" ContentType="application/vnd.openxmlformats-officedocument.spreadsheetml.externalLink+xml"/>
  <Override PartName="/xl/externalLinks/externalLink559.xml" ContentType="application/vnd.openxmlformats-officedocument.spreadsheetml.externalLink+xml"/>
  <Override PartName="/xl/externalLinks/externalLink560.xml" ContentType="application/vnd.openxmlformats-officedocument.spreadsheetml.externalLink+xml"/>
  <Override PartName="/xl/externalLinks/externalLink561.xml" ContentType="application/vnd.openxmlformats-officedocument.spreadsheetml.externalLink+xml"/>
  <Override PartName="/xl/externalLinks/externalLink562.xml" ContentType="application/vnd.openxmlformats-officedocument.spreadsheetml.externalLink+xml"/>
  <Override PartName="/xl/externalLinks/externalLink563.xml" ContentType="application/vnd.openxmlformats-officedocument.spreadsheetml.externalLink+xml"/>
  <Override PartName="/xl/externalLinks/externalLink564.xml" ContentType="application/vnd.openxmlformats-officedocument.spreadsheetml.externalLink+xml"/>
  <Override PartName="/xl/externalLinks/externalLink565.xml" ContentType="application/vnd.openxmlformats-officedocument.spreadsheetml.externalLink+xml"/>
  <Override PartName="/xl/externalLinks/externalLink566.xml" ContentType="application/vnd.openxmlformats-officedocument.spreadsheetml.externalLink+xml"/>
  <Override PartName="/xl/externalLinks/externalLink567.xml" ContentType="application/vnd.openxmlformats-officedocument.spreadsheetml.externalLink+xml"/>
  <Override PartName="/xl/externalLinks/externalLink568.xml" ContentType="application/vnd.openxmlformats-officedocument.spreadsheetml.externalLink+xml"/>
  <Override PartName="/xl/externalLinks/externalLink569.xml" ContentType="application/vnd.openxmlformats-officedocument.spreadsheetml.externalLink+xml"/>
  <Override PartName="/xl/externalLinks/externalLink570.xml" ContentType="application/vnd.openxmlformats-officedocument.spreadsheetml.externalLink+xml"/>
  <Override PartName="/xl/externalLinks/externalLink571.xml" ContentType="application/vnd.openxmlformats-officedocument.spreadsheetml.externalLink+xml"/>
  <Override PartName="/xl/externalLinks/externalLink572.xml" ContentType="application/vnd.openxmlformats-officedocument.spreadsheetml.externalLink+xml"/>
  <Override PartName="/xl/externalLinks/externalLink573.xml" ContentType="application/vnd.openxmlformats-officedocument.spreadsheetml.externalLink+xml"/>
  <Override PartName="/xl/externalLinks/externalLink574.xml" ContentType="application/vnd.openxmlformats-officedocument.spreadsheetml.externalLink+xml"/>
  <Override PartName="/xl/externalLinks/externalLink575.xml" ContentType="application/vnd.openxmlformats-officedocument.spreadsheetml.externalLink+xml"/>
  <Override PartName="/xl/externalLinks/externalLink576.xml" ContentType="application/vnd.openxmlformats-officedocument.spreadsheetml.externalLink+xml"/>
  <Override PartName="/xl/externalLinks/externalLink577.xml" ContentType="application/vnd.openxmlformats-officedocument.spreadsheetml.externalLink+xml"/>
  <Override PartName="/xl/externalLinks/externalLink578.xml" ContentType="application/vnd.openxmlformats-officedocument.spreadsheetml.externalLink+xml"/>
  <Override PartName="/xl/externalLinks/externalLink579.xml" ContentType="application/vnd.openxmlformats-officedocument.spreadsheetml.externalLink+xml"/>
  <Override PartName="/xl/externalLinks/externalLink580.xml" ContentType="application/vnd.openxmlformats-officedocument.spreadsheetml.externalLink+xml"/>
  <Override PartName="/xl/externalLinks/externalLink581.xml" ContentType="application/vnd.openxmlformats-officedocument.spreadsheetml.externalLink+xml"/>
  <Override PartName="/xl/externalLinks/externalLink582.xml" ContentType="application/vnd.openxmlformats-officedocument.spreadsheetml.externalLink+xml"/>
  <Override PartName="/xl/externalLinks/externalLink583.xml" ContentType="application/vnd.openxmlformats-officedocument.spreadsheetml.externalLink+xml"/>
  <Override PartName="/xl/externalLinks/externalLink584.xml" ContentType="application/vnd.openxmlformats-officedocument.spreadsheetml.externalLink+xml"/>
  <Override PartName="/xl/externalLinks/externalLink585.xml" ContentType="application/vnd.openxmlformats-officedocument.spreadsheetml.externalLink+xml"/>
  <Override PartName="/xl/externalLinks/externalLink586.xml" ContentType="application/vnd.openxmlformats-officedocument.spreadsheetml.externalLink+xml"/>
  <Override PartName="/xl/externalLinks/externalLink587.xml" ContentType="application/vnd.openxmlformats-officedocument.spreadsheetml.externalLink+xml"/>
  <Override PartName="/xl/externalLinks/externalLink588.xml" ContentType="application/vnd.openxmlformats-officedocument.spreadsheetml.externalLink+xml"/>
  <Override PartName="/xl/externalLinks/externalLink589.xml" ContentType="application/vnd.openxmlformats-officedocument.spreadsheetml.externalLink+xml"/>
  <Override PartName="/xl/externalLinks/externalLink590.xml" ContentType="application/vnd.openxmlformats-officedocument.spreadsheetml.externalLink+xml"/>
  <Override PartName="/xl/externalLinks/externalLink591.xml" ContentType="application/vnd.openxmlformats-officedocument.spreadsheetml.externalLink+xml"/>
  <Override PartName="/xl/externalLinks/externalLink592.xml" ContentType="application/vnd.openxmlformats-officedocument.spreadsheetml.externalLink+xml"/>
  <Override PartName="/xl/externalLinks/externalLink593.xml" ContentType="application/vnd.openxmlformats-officedocument.spreadsheetml.externalLink+xml"/>
  <Override PartName="/xl/externalLinks/externalLink594.xml" ContentType="application/vnd.openxmlformats-officedocument.spreadsheetml.externalLink+xml"/>
  <Override PartName="/xl/externalLinks/externalLink595.xml" ContentType="application/vnd.openxmlformats-officedocument.spreadsheetml.externalLink+xml"/>
  <Override PartName="/xl/externalLinks/externalLink596.xml" ContentType="application/vnd.openxmlformats-officedocument.spreadsheetml.externalLink+xml"/>
  <Override PartName="/xl/externalLinks/externalLink597.xml" ContentType="application/vnd.openxmlformats-officedocument.spreadsheetml.externalLink+xml"/>
  <Override PartName="/xl/externalLinks/externalLink598.xml" ContentType="application/vnd.openxmlformats-officedocument.spreadsheetml.externalLink+xml"/>
  <Override PartName="/xl/externalLinks/externalLink599.xml" ContentType="application/vnd.openxmlformats-officedocument.spreadsheetml.externalLink+xml"/>
  <Override PartName="/xl/externalLinks/externalLink600.xml" ContentType="application/vnd.openxmlformats-officedocument.spreadsheetml.externalLink+xml"/>
  <Override PartName="/xl/externalLinks/externalLink601.xml" ContentType="application/vnd.openxmlformats-officedocument.spreadsheetml.externalLink+xml"/>
  <Override PartName="/xl/externalLinks/externalLink602.xml" ContentType="application/vnd.openxmlformats-officedocument.spreadsheetml.externalLink+xml"/>
  <Override PartName="/xl/externalLinks/externalLink603.xml" ContentType="application/vnd.openxmlformats-officedocument.spreadsheetml.externalLink+xml"/>
  <Override PartName="/xl/externalLinks/externalLink604.xml" ContentType="application/vnd.openxmlformats-officedocument.spreadsheetml.externalLink+xml"/>
  <Override PartName="/xl/externalLinks/externalLink605.xml" ContentType="application/vnd.openxmlformats-officedocument.spreadsheetml.externalLink+xml"/>
  <Override PartName="/xl/externalLinks/externalLink606.xml" ContentType="application/vnd.openxmlformats-officedocument.spreadsheetml.externalLink+xml"/>
  <Override PartName="/xl/externalLinks/externalLink607.xml" ContentType="application/vnd.openxmlformats-officedocument.spreadsheetml.externalLink+xml"/>
  <Override PartName="/xl/externalLinks/externalLink608.xml" ContentType="application/vnd.openxmlformats-officedocument.spreadsheetml.externalLink+xml"/>
  <Override PartName="/xl/externalLinks/externalLink609.xml" ContentType="application/vnd.openxmlformats-officedocument.spreadsheetml.externalLink+xml"/>
  <Override PartName="/xl/externalLinks/externalLink610.xml" ContentType="application/vnd.openxmlformats-officedocument.spreadsheetml.externalLink+xml"/>
  <Override PartName="/xl/externalLinks/externalLink611.xml" ContentType="application/vnd.openxmlformats-officedocument.spreadsheetml.externalLink+xml"/>
  <Override PartName="/xl/externalLinks/externalLink612.xml" ContentType="application/vnd.openxmlformats-officedocument.spreadsheetml.externalLink+xml"/>
  <Override PartName="/xl/externalLinks/externalLink613.xml" ContentType="application/vnd.openxmlformats-officedocument.spreadsheetml.externalLink+xml"/>
  <Override PartName="/xl/externalLinks/externalLink614.xml" ContentType="application/vnd.openxmlformats-officedocument.spreadsheetml.externalLink+xml"/>
  <Override PartName="/xl/externalLinks/externalLink615.xml" ContentType="application/vnd.openxmlformats-officedocument.spreadsheetml.externalLink+xml"/>
  <Override PartName="/xl/externalLinks/externalLink616.xml" ContentType="application/vnd.openxmlformats-officedocument.spreadsheetml.externalLink+xml"/>
  <Override PartName="/xl/externalLinks/externalLink617.xml" ContentType="application/vnd.openxmlformats-officedocument.spreadsheetml.externalLink+xml"/>
  <Override PartName="/xl/externalLinks/externalLink618.xml" ContentType="application/vnd.openxmlformats-officedocument.spreadsheetml.externalLink+xml"/>
  <Override PartName="/xl/externalLinks/externalLink619.xml" ContentType="application/vnd.openxmlformats-officedocument.spreadsheetml.externalLink+xml"/>
  <Override PartName="/xl/externalLinks/externalLink620.xml" ContentType="application/vnd.openxmlformats-officedocument.spreadsheetml.externalLink+xml"/>
  <Override PartName="/xl/externalLinks/externalLink621.xml" ContentType="application/vnd.openxmlformats-officedocument.spreadsheetml.externalLink+xml"/>
  <Override PartName="/xl/externalLinks/externalLink622.xml" ContentType="application/vnd.openxmlformats-officedocument.spreadsheetml.externalLink+xml"/>
  <Override PartName="/xl/externalLinks/externalLink623.xml" ContentType="application/vnd.openxmlformats-officedocument.spreadsheetml.externalLink+xml"/>
  <Override PartName="/xl/externalLinks/externalLink624.xml" ContentType="application/vnd.openxmlformats-officedocument.spreadsheetml.externalLink+xml"/>
  <Override PartName="/xl/externalLinks/externalLink625.xml" ContentType="application/vnd.openxmlformats-officedocument.spreadsheetml.externalLink+xml"/>
  <Override PartName="/xl/externalLinks/externalLink626.xml" ContentType="application/vnd.openxmlformats-officedocument.spreadsheetml.externalLink+xml"/>
  <Override PartName="/xl/externalLinks/externalLink627.xml" ContentType="application/vnd.openxmlformats-officedocument.spreadsheetml.externalLink+xml"/>
  <Override PartName="/xl/externalLinks/externalLink628.xml" ContentType="application/vnd.openxmlformats-officedocument.spreadsheetml.externalLink+xml"/>
  <Override PartName="/xl/externalLinks/externalLink629.xml" ContentType="application/vnd.openxmlformats-officedocument.spreadsheetml.externalLink+xml"/>
  <Override PartName="/xl/externalLinks/externalLink630.xml" ContentType="application/vnd.openxmlformats-officedocument.spreadsheetml.externalLink+xml"/>
  <Override PartName="/xl/externalLinks/externalLink631.xml" ContentType="application/vnd.openxmlformats-officedocument.spreadsheetml.externalLink+xml"/>
  <Override PartName="/xl/externalLinks/externalLink632.xml" ContentType="application/vnd.openxmlformats-officedocument.spreadsheetml.externalLink+xml"/>
  <Override PartName="/xl/externalLinks/externalLink633.xml" ContentType="application/vnd.openxmlformats-officedocument.spreadsheetml.externalLink+xml"/>
  <Override PartName="/xl/externalLinks/externalLink634.xml" ContentType="application/vnd.openxmlformats-officedocument.spreadsheetml.externalLink+xml"/>
  <Override PartName="/xl/externalLinks/externalLink635.xml" ContentType="application/vnd.openxmlformats-officedocument.spreadsheetml.externalLink+xml"/>
  <Override PartName="/xl/externalLinks/externalLink636.xml" ContentType="application/vnd.openxmlformats-officedocument.spreadsheetml.externalLink+xml"/>
  <Override PartName="/xl/externalLinks/externalLink637.xml" ContentType="application/vnd.openxmlformats-officedocument.spreadsheetml.externalLink+xml"/>
  <Override PartName="/xl/externalLinks/externalLink638.xml" ContentType="application/vnd.openxmlformats-officedocument.spreadsheetml.externalLink+xml"/>
  <Override PartName="/xl/externalLinks/externalLink639.xml" ContentType="application/vnd.openxmlformats-officedocument.spreadsheetml.externalLink+xml"/>
  <Override PartName="/xl/externalLinks/externalLink640.xml" ContentType="application/vnd.openxmlformats-officedocument.spreadsheetml.externalLink+xml"/>
  <Override PartName="/xl/externalLinks/externalLink641.xml" ContentType="application/vnd.openxmlformats-officedocument.spreadsheetml.externalLink+xml"/>
  <Override PartName="/xl/externalLinks/externalLink642.xml" ContentType="application/vnd.openxmlformats-officedocument.spreadsheetml.externalLink+xml"/>
  <Override PartName="/xl/externalLinks/externalLink643.xml" ContentType="application/vnd.openxmlformats-officedocument.spreadsheetml.externalLink+xml"/>
  <Override PartName="/xl/externalLinks/externalLink644.xml" ContentType="application/vnd.openxmlformats-officedocument.spreadsheetml.externalLink+xml"/>
  <Override PartName="/xl/externalLinks/externalLink645.xml" ContentType="application/vnd.openxmlformats-officedocument.spreadsheetml.externalLink+xml"/>
  <Override PartName="/xl/externalLinks/externalLink646.xml" ContentType="application/vnd.openxmlformats-officedocument.spreadsheetml.externalLink+xml"/>
  <Override PartName="/xl/externalLinks/externalLink647.xml" ContentType="application/vnd.openxmlformats-officedocument.spreadsheetml.externalLink+xml"/>
  <Override PartName="/xl/externalLinks/externalLink648.xml" ContentType="application/vnd.openxmlformats-officedocument.spreadsheetml.externalLink+xml"/>
  <Override PartName="/xl/externalLinks/externalLink649.xml" ContentType="application/vnd.openxmlformats-officedocument.spreadsheetml.externalLink+xml"/>
  <Override PartName="/xl/externalLinks/externalLink650.xml" ContentType="application/vnd.openxmlformats-officedocument.spreadsheetml.externalLink+xml"/>
  <Override PartName="/xl/externalLinks/externalLink651.xml" ContentType="application/vnd.openxmlformats-officedocument.spreadsheetml.externalLink+xml"/>
  <Override PartName="/xl/externalLinks/externalLink652.xml" ContentType="application/vnd.openxmlformats-officedocument.spreadsheetml.externalLink+xml"/>
  <Override PartName="/xl/externalLinks/externalLink653.xml" ContentType="application/vnd.openxmlformats-officedocument.spreadsheetml.externalLink+xml"/>
  <Override PartName="/xl/externalLinks/externalLink654.xml" ContentType="application/vnd.openxmlformats-officedocument.spreadsheetml.externalLink+xml"/>
  <Override PartName="/xl/externalLinks/externalLink655.xml" ContentType="application/vnd.openxmlformats-officedocument.spreadsheetml.externalLink+xml"/>
  <Override PartName="/xl/externalLinks/externalLink656.xml" ContentType="application/vnd.openxmlformats-officedocument.spreadsheetml.externalLink+xml"/>
  <Override PartName="/xl/externalLinks/externalLink657.xml" ContentType="application/vnd.openxmlformats-officedocument.spreadsheetml.externalLink+xml"/>
  <Override PartName="/xl/externalLinks/externalLink658.xml" ContentType="application/vnd.openxmlformats-officedocument.spreadsheetml.externalLink+xml"/>
  <Override PartName="/xl/externalLinks/externalLink659.xml" ContentType="application/vnd.openxmlformats-officedocument.spreadsheetml.externalLink+xml"/>
  <Override PartName="/xl/externalLinks/externalLink660.xml" ContentType="application/vnd.openxmlformats-officedocument.spreadsheetml.externalLink+xml"/>
  <Override PartName="/xl/externalLinks/externalLink661.xml" ContentType="application/vnd.openxmlformats-officedocument.spreadsheetml.externalLink+xml"/>
  <Override PartName="/xl/externalLinks/externalLink662.xml" ContentType="application/vnd.openxmlformats-officedocument.spreadsheetml.externalLink+xml"/>
  <Override PartName="/xl/externalLinks/externalLink663.xml" ContentType="application/vnd.openxmlformats-officedocument.spreadsheetml.externalLink+xml"/>
  <Override PartName="/xl/externalLinks/externalLink664.xml" ContentType="application/vnd.openxmlformats-officedocument.spreadsheetml.externalLink+xml"/>
  <Override PartName="/xl/externalLinks/externalLink665.xml" ContentType="application/vnd.openxmlformats-officedocument.spreadsheetml.externalLink+xml"/>
  <Override PartName="/xl/externalLinks/externalLink666.xml" ContentType="application/vnd.openxmlformats-officedocument.spreadsheetml.externalLink+xml"/>
  <Override PartName="/xl/externalLinks/externalLink667.xml" ContentType="application/vnd.openxmlformats-officedocument.spreadsheetml.externalLink+xml"/>
  <Override PartName="/xl/externalLinks/externalLink668.xml" ContentType="application/vnd.openxmlformats-officedocument.spreadsheetml.externalLink+xml"/>
  <Override PartName="/xl/externalLinks/externalLink669.xml" ContentType="application/vnd.openxmlformats-officedocument.spreadsheetml.externalLink+xml"/>
  <Override PartName="/xl/externalLinks/externalLink670.xml" ContentType="application/vnd.openxmlformats-officedocument.spreadsheetml.externalLink+xml"/>
  <Override PartName="/xl/externalLinks/externalLink671.xml" ContentType="application/vnd.openxmlformats-officedocument.spreadsheetml.externalLink+xml"/>
  <Override PartName="/xl/externalLinks/externalLink672.xml" ContentType="application/vnd.openxmlformats-officedocument.spreadsheetml.externalLink+xml"/>
  <Override PartName="/xl/externalLinks/externalLink673.xml" ContentType="application/vnd.openxmlformats-officedocument.spreadsheetml.externalLink+xml"/>
  <Override PartName="/xl/externalLinks/externalLink674.xml" ContentType="application/vnd.openxmlformats-officedocument.spreadsheetml.externalLink+xml"/>
  <Override PartName="/xl/externalLinks/externalLink675.xml" ContentType="application/vnd.openxmlformats-officedocument.spreadsheetml.externalLink+xml"/>
  <Override PartName="/xl/externalLinks/externalLink676.xml" ContentType="application/vnd.openxmlformats-officedocument.spreadsheetml.externalLink+xml"/>
  <Override PartName="/xl/externalLinks/externalLink677.xml" ContentType="application/vnd.openxmlformats-officedocument.spreadsheetml.externalLink+xml"/>
  <Override PartName="/xl/externalLinks/externalLink678.xml" ContentType="application/vnd.openxmlformats-officedocument.spreadsheetml.externalLink+xml"/>
  <Override PartName="/xl/externalLinks/externalLink679.xml" ContentType="application/vnd.openxmlformats-officedocument.spreadsheetml.externalLink+xml"/>
  <Override PartName="/xl/externalLinks/externalLink680.xml" ContentType="application/vnd.openxmlformats-officedocument.spreadsheetml.externalLink+xml"/>
  <Override PartName="/xl/externalLinks/externalLink681.xml" ContentType="application/vnd.openxmlformats-officedocument.spreadsheetml.externalLink+xml"/>
  <Override PartName="/xl/externalLinks/externalLink682.xml" ContentType="application/vnd.openxmlformats-officedocument.spreadsheetml.externalLink+xml"/>
  <Override PartName="/xl/externalLinks/externalLink683.xml" ContentType="application/vnd.openxmlformats-officedocument.spreadsheetml.externalLink+xml"/>
  <Override PartName="/xl/externalLinks/externalLink684.xml" ContentType="application/vnd.openxmlformats-officedocument.spreadsheetml.externalLink+xml"/>
  <Override PartName="/xl/externalLinks/externalLink685.xml" ContentType="application/vnd.openxmlformats-officedocument.spreadsheetml.externalLink+xml"/>
  <Override PartName="/xl/externalLinks/externalLink686.xml" ContentType="application/vnd.openxmlformats-officedocument.spreadsheetml.externalLink+xml"/>
  <Override PartName="/xl/externalLinks/externalLink687.xml" ContentType="application/vnd.openxmlformats-officedocument.spreadsheetml.externalLink+xml"/>
  <Override PartName="/xl/externalLinks/externalLink688.xml" ContentType="application/vnd.openxmlformats-officedocument.spreadsheetml.externalLink+xml"/>
  <Override PartName="/xl/externalLinks/externalLink689.xml" ContentType="application/vnd.openxmlformats-officedocument.spreadsheetml.externalLink+xml"/>
  <Override PartName="/xl/externalLinks/externalLink690.xml" ContentType="application/vnd.openxmlformats-officedocument.spreadsheetml.externalLink+xml"/>
  <Override PartName="/xl/externalLinks/externalLink691.xml" ContentType="application/vnd.openxmlformats-officedocument.spreadsheetml.externalLink+xml"/>
  <Override PartName="/xl/externalLinks/externalLink692.xml" ContentType="application/vnd.openxmlformats-officedocument.spreadsheetml.externalLink+xml"/>
  <Override PartName="/xl/externalLinks/externalLink693.xml" ContentType="application/vnd.openxmlformats-officedocument.spreadsheetml.externalLink+xml"/>
  <Override PartName="/xl/externalLinks/externalLink694.xml" ContentType="application/vnd.openxmlformats-officedocument.spreadsheetml.externalLink+xml"/>
  <Override PartName="/xl/externalLinks/externalLink695.xml" ContentType="application/vnd.openxmlformats-officedocument.spreadsheetml.externalLink+xml"/>
  <Override PartName="/xl/externalLinks/externalLink696.xml" ContentType="application/vnd.openxmlformats-officedocument.spreadsheetml.externalLink+xml"/>
  <Override PartName="/xl/externalLinks/externalLink697.xml" ContentType="application/vnd.openxmlformats-officedocument.spreadsheetml.externalLink+xml"/>
  <Override PartName="/xl/externalLinks/externalLink698.xml" ContentType="application/vnd.openxmlformats-officedocument.spreadsheetml.externalLink+xml"/>
  <Override PartName="/xl/externalLinks/externalLink699.xml" ContentType="application/vnd.openxmlformats-officedocument.spreadsheetml.externalLink+xml"/>
  <Override PartName="/xl/externalLinks/externalLink700.xml" ContentType="application/vnd.openxmlformats-officedocument.spreadsheetml.externalLink+xml"/>
  <Override PartName="/xl/externalLinks/externalLink701.xml" ContentType="application/vnd.openxmlformats-officedocument.spreadsheetml.externalLink+xml"/>
  <Override PartName="/xl/externalLinks/externalLink702.xml" ContentType="application/vnd.openxmlformats-officedocument.spreadsheetml.externalLink+xml"/>
  <Override PartName="/xl/externalLinks/externalLink703.xml" ContentType="application/vnd.openxmlformats-officedocument.spreadsheetml.externalLink+xml"/>
  <Override PartName="/xl/externalLinks/externalLink704.xml" ContentType="application/vnd.openxmlformats-officedocument.spreadsheetml.externalLink+xml"/>
  <Override PartName="/xl/externalLinks/externalLink705.xml" ContentType="application/vnd.openxmlformats-officedocument.spreadsheetml.externalLink+xml"/>
  <Override PartName="/xl/externalLinks/externalLink706.xml" ContentType="application/vnd.openxmlformats-officedocument.spreadsheetml.externalLink+xml"/>
  <Override PartName="/xl/externalLinks/externalLink707.xml" ContentType="application/vnd.openxmlformats-officedocument.spreadsheetml.externalLink+xml"/>
  <Override PartName="/xl/externalLinks/externalLink708.xml" ContentType="application/vnd.openxmlformats-officedocument.spreadsheetml.externalLink+xml"/>
  <Override PartName="/xl/externalLinks/externalLink709.xml" ContentType="application/vnd.openxmlformats-officedocument.spreadsheetml.externalLink+xml"/>
  <Override PartName="/xl/externalLinks/externalLink710.xml" ContentType="application/vnd.openxmlformats-officedocument.spreadsheetml.externalLink+xml"/>
  <Override PartName="/xl/externalLinks/externalLink711.xml" ContentType="application/vnd.openxmlformats-officedocument.spreadsheetml.externalLink+xml"/>
  <Override PartName="/xl/externalLinks/externalLink712.xml" ContentType="application/vnd.openxmlformats-officedocument.spreadsheetml.externalLink+xml"/>
  <Override PartName="/xl/externalLinks/externalLink713.xml" ContentType="application/vnd.openxmlformats-officedocument.spreadsheetml.externalLink+xml"/>
  <Override PartName="/xl/externalLinks/externalLink714.xml" ContentType="application/vnd.openxmlformats-officedocument.spreadsheetml.externalLink+xml"/>
  <Override PartName="/xl/externalLinks/externalLink715.xml" ContentType="application/vnd.openxmlformats-officedocument.spreadsheetml.externalLink+xml"/>
  <Override PartName="/xl/externalLinks/externalLink716.xml" ContentType="application/vnd.openxmlformats-officedocument.spreadsheetml.externalLink+xml"/>
  <Override PartName="/xl/externalLinks/externalLink717.xml" ContentType="application/vnd.openxmlformats-officedocument.spreadsheetml.externalLink+xml"/>
  <Override PartName="/xl/externalLinks/externalLink718.xml" ContentType="application/vnd.openxmlformats-officedocument.spreadsheetml.externalLink+xml"/>
  <Override PartName="/xl/externalLinks/externalLink719.xml" ContentType="application/vnd.openxmlformats-officedocument.spreadsheetml.externalLink+xml"/>
  <Override PartName="/xl/externalLinks/externalLink720.xml" ContentType="application/vnd.openxmlformats-officedocument.spreadsheetml.externalLink+xml"/>
  <Override PartName="/xl/externalLinks/externalLink721.xml" ContentType="application/vnd.openxmlformats-officedocument.spreadsheetml.externalLink+xml"/>
  <Override PartName="/xl/externalLinks/externalLink722.xml" ContentType="application/vnd.openxmlformats-officedocument.spreadsheetml.externalLink+xml"/>
  <Override PartName="/xl/externalLinks/externalLink723.xml" ContentType="application/vnd.openxmlformats-officedocument.spreadsheetml.externalLink+xml"/>
  <Override PartName="/xl/externalLinks/externalLink724.xml" ContentType="application/vnd.openxmlformats-officedocument.spreadsheetml.externalLink+xml"/>
  <Override PartName="/xl/externalLinks/externalLink725.xml" ContentType="application/vnd.openxmlformats-officedocument.spreadsheetml.externalLink+xml"/>
  <Override PartName="/xl/externalLinks/externalLink726.xml" ContentType="application/vnd.openxmlformats-officedocument.spreadsheetml.externalLink+xml"/>
  <Override PartName="/xl/externalLinks/externalLink727.xml" ContentType="application/vnd.openxmlformats-officedocument.spreadsheetml.externalLink+xml"/>
  <Override PartName="/xl/externalLinks/externalLink728.xml" ContentType="application/vnd.openxmlformats-officedocument.spreadsheetml.externalLink+xml"/>
  <Override PartName="/xl/externalLinks/externalLink729.xml" ContentType="application/vnd.openxmlformats-officedocument.spreadsheetml.externalLink+xml"/>
  <Override PartName="/xl/externalLinks/externalLink730.xml" ContentType="application/vnd.openxmlformats-officedocument.spreadsheetml.externalLink+xml"/>
  <Override PartName="/xl/externalLinks/externalLink731.xml" ContentType="application/vnd.openxmlformats-officedocument.spreadsheetml.externalLink+xml"/>
  <Override PartName="/xl/externalLinks/externalLink732.xml" ContentType="application/vnd.openxmlformats-officedocument.spreadsheetml.externalLink+xml"/>
  <Override PartName="/xl/externalLinks/externalLink733.xml" ContentType="application/vnd.openxmlformats-officedocument.spreadsheetml.externalLink+xml"/>
  <Override PartName="/xl/externalLinks/externalLink734.xml" ContentType="application/vnd.openxmlformats-officedocument.spreadsheetml.externalLink+xml"/>
  <Override PartName="/xl/externalLinks/externalLink735.xml" ContentType="application/vnd.openxmlformats-officedocument.spreadsheetml.externalLink+xml"/>
  <Override PartName="/xl/externalLinks/externalLink736.xml" ContentType="application/vnd.openxmlformats-officedocument.spreadsheetml.externalLink+xml"/>
  <Override PartName="/xl/externalLinks/externalLink737.xml" ContentType="application/vnd.openxmlformats-officedocument.spreadsheetml.externalLink+xml"/>
  <Override PartName="/xl/externalLinks/externalLink738.xml" ContentType="application/vnd.openxmlformats-officedocument.spreadsheetml.externalLink+xml"/>
  <Override PartName="/xl/externalLinks/externalLink739.xml" ContentType="application/vnd.openxmlformats-officedocument.spreadsheetml.externalLink+xml"/>
  <Override PartName="/xl/externalLinks/externalLink740.xml" ContentType="application/vnd.openxmlformats-officedocument.spreadsheetml.externalLink+xml"/>
  <Override PartName="/xl/externalLinks/externalLink741.xml" ContentType="application/vnd.openxmlformats-officedocument.spreadsheetml.externalLink+xml"/>
  <Override PartName="/xl/externalLinks/externalLink742.xml" ContentType="application/vnd.openxmlformats-officedocument.spreadsheetml.externalLink+xml"/>
  <Override PartName="/xl/externalLinks/externalLink743.xml" ContentType="application/vnd.openxmlformats-officedocument.spreadsheetml.externalLink+xml"/>
  <Override PartName="/xl/externalLinks/externalLink744.xml" ContentType="application/vnd.openxmlformats-officedocument.spreadsheetml.externalLink+xml"/>
  <Override PartName="/xl/externalLinks/externalLink745.xml" ContentType="application/vnd.openxmlformats-officedocument.spreadsheetml.externalLink+xml"/>
  <Override PartName="/xl/externalLinks/externalLink746.xml" ContentType="application/vnd.openxmlformats-officedocument.spreadsheetml.externalLink+xml"/>
  <Override PartName="/xl/externalLinks/externalLink747.xml" ContentType="application/vnd.openxmlformats-officedocument.spreadsheetml.externalLink+xml"/>
  <Override PartName="/xl/externalLinks/externalLink748.xml" ContentType="application/vnd.openxmlformats-officedocument.spreadsheetml.externalLink+xml"/>
  <Override PartName="/xl/externalLinks/externalLink749.xml" ContentType="application/vnd.openxmlformats-officedocument.spreadsheetml.externalLink+xml"/>
  <Override PartName="/xl/externalLinks/externalLink750.xml" ContentType="application/vnd.openxmlformats-officedocument.spreadsheetml.externalLink+xml"/>
  <Override PartName="/xl/externalLinks/externalLink751.xml" ContentType="application/vnd.openxmlformats-officedocument.spreadsheetml.externalLink+xml"/>
  <Override PartName="/xl/externalLinks/externalLink752.xml" ContentType="application/vnd.openxmlformats-officedocument.spreadsheetml.externalLink+xml"/>
  <Override PartName="/xl/externalLinks/externalLink753.xml" ContentType="application/vnd.openxmlformats-officedocument.spreadsheetml.externalLink+xml"/>
  <Override PartName="/xl/externalLinks/externalLink754.xml" ContentType="application/vnd.openxmlformats-officedocument.spreadsheetml.externalLink+xml"/>
  <Override PartName="/xl/externalLinks/externalLink755.xml" ContentType="application/vnd.openxmlformats-officedocument.spreadsheetml.externalLink+xml"/>
  <Override PartName="/xl/externalLinks/externalLink756.xml" ContentType="application/vnd.openxmlformats-officedocument.spreadsheetml.externalLink+xml"/>
  <Override PartName="/xl/externalLinks/externalLink757.xml" ContentType="application/vnd.openxmlformats-officedocument.spreadsheetml.externalLink+xml"/>
  <Override PartName="/xl/externalLinks/externalLink758.xml" ContentType="application/vnd.openxmlformats-officedocument.spreadsheetml.externalLink+xml"/>
  <Override PartName="/xl/externalLinks/externalLink759.xml" ContentType="application/vnd.openxmlformats-officedocument.spreadsheetml.externalLink+xml"/>
  <Override PartName="/xl/externalLinks/externalLink760.xml" ContentType="application/vnd.openxmlformats-officedocument.spreadsheetml.externalLink+xml"/>
  <Override PartName="/xl/externalLinks/externalLink761.xml" ContentType="application/vnd.openxmlformats-officedocument.spreadsheetml.externalLink+xml"/>
  <Override PartName="/xl/externalLinks/externalLink762.xml" ContentType="application/vnd.openxmlformats-officedocument.spreadsheetml.externalLink+xml"/>
  <Override PartName="/xl/externalLinks/externalLink763.xml" ContentType="application/vnd.openxmlformats-officedocument.spreadsheetml.externalLink+xml"/>
  <Override PartName="/xl/externalLinks/externalLink764.xml" ContentType="application/vnd.openxmlformats-officedocument.spreadsheetml.externalLink+xml"/>
  <Override PartName="/xl/externalLinks/externalLink765.xml" ContentType="application/vnd.openxmlformats-officedocument.spreadsheetml.externalLink+xml"/>
  <Override PartName="/xl/externalLinks/externalLink766.xml" ContentType="application/vnd.openxmlformats-officedocument.spreadsheetml.externalLink+xml"/>
  <Override PartName="/xl/externalLinks/externalLink767.xml" ContentType="application/vnd.openxmlformats-officedocument.spreadsheetml.externalLink+xml"/>
  <Override PartName="/xl/externalLinks/externalLink768.xml" ContentType="application/vnd.openxmlformats-officedocument.spreadsheetml.externalLink+xml"/>
  <Override PartName="/xl/externalLinks/externalLink769.xml" ContentType="application/vnd.openxmlformats-officedocument.spreadsheetml.externalLink+xml"/>
  <Override PartName="/xl/externalLinks/externalLink770.xml" ContentType="application/vnd.openxmlformats-officedocument.spreadsheetml.externalLink+xml"/>
  <Override PartName="/xl/externalLinks/externalLink771.xml" ContentType="application/vnd.openxmlformats-officedocument.spreadsheetml.externalLink+xml"/>
  <Override PartName="/xl/externalLinks/externalLink772.xml" ContentType="application/vnd.openxmlformats-officedocument.spreadsheetml.externalLink+xml"/>
  <Override PartName="/xl/externalLinks/externalLink773.xml" ContentType="application/vnd.openxmlformats-officedocument.spreadsheetml.externalLink+xml"/>
  <Override PartName="/xl/externalLinks/externalLink774.xml" ContentType="application/vnd.openxmlformats-officedocument.spreadsheetml.externalLink+xml"/>
  <Override PartName="/xl/externalLinks/externalLink775.xml" ContentType="application/vnd.openxmlformats-officedocument.spreadsheetml.externalLink+xml"/>
  <Override PartName="/xl/externalLinks/externalLink776.xml" ContentType="application/vnd.openxmlformats-officedocument.spreadsheetml.externalLink+xml"/>
  <Override PartName="/xl/externalLinks/externalLink777.xml" ContentType="application/vnd.openxmlformats-officedocument.spreadsheetml.externalLink+xml"/>
  <Override PartName="/xl/externalLinks/externalLink778.xml" ContentType="application/vnd.openxmlformats-officedocument.spreadsheetml.externalLink+xml"/>
  <Override PartName="/xl/externalLinks/externalLink779.xml" ContentType="application/vnd.openxmlformats-officedocument.spreadsheetml.externalLink+xml"/>
  <Override PartName="/xl/externalLinks/externalLink780.xml" ContentType="application/vnd.openxmlformats-officedocument.spreadsheetml.externalLink+xml"/>
  <Override PartName="/xl/externalLinks/externalLink781.xml" ContentType="application/vnd.openxmlformats-officedocument.spreadsheetml.externalLink+xml"/>
  <Override PartName="/xl/externalLinks/externalLink782.xml" ContentType="application/vnd.openxmlformats-officedocument.spreadsheetml.externalLink+xml"/>
  <Override PartName="/xl/externalLinks/externalLink783.xml" ContentType="application/vnd.openxmlformats-officedocument.spreadsheetml.externalLink+xml"/>
  <Override PartName="/xl/externalLinks/externalLink784.xml" ContentType="application/vnd.openxmlformats-officedocument.spreadsheetml.externalLink+xml"/>
  <Override PartName="/xl/externalLinks/externalLink785.xml" ContentType="application/vnd.openxmlformats-officedocument.spreadsheetml.externalLink+xml"/>
  <Override PartName="/xl/externalLinks/externalLink786.xml" ContentType="application/vnd.openxmlformats-officedocument.spreadsheetml.externalLink+xml"/>
  <Override PartName="/xl/externalLinks/externalLink787.xml" ContentType="application/vnd.openxmlformats-officedocument.spreadsheetml.externalLink+xml"/>
  <Override PartName="/xl/externalLinks/externalLink788.xml" ContentType="application/vnd.openxmlformats-officedocument.spreadsheetml.externalLink+xml"/>
  <Override PartName="/xl/externalLinks/externalLink789.xml" ContentType="application/vnd.openxmlformats-officedocument.spreadsheetml.externalLink+xml"/>
  <Override PartName="/xl/externalLinks/externalLink790.xml" ContentType="application/vnd.openxmlformats-officedocument.spreadsheetml.externalLink+xml"/>
  <Override PartName="/xl/externalLinks/externalLink791.xml" ContentType="application/vnd.openxmlformats-officedocument.spreadsheetml.externalLink+xml"/>
  <Override PartName="/xl/externalLinks/externalLink792.xml" ContentType="application/vnd.openxmlformats-officedocument.spreadsheetml.externalLink+xml"/>
  <Override PartName="/xl/externalLinks/externalLink793.xml" ContentType="application/vnd.openxmlformats-officedocument.spreadsheetml.externalLink+xml"/>
  <Override PartName="/xl/externalLinks/externalLink794.xml" ContentType="application/vnd.openxmlformats-officedocument.spreadsheetml.externalLink+xml"/>
  <Override PartName="/xl/externalLinks/externalLink795.xml" ContentType="application/vnd.openxmlformats-officedocument.spreadsheetml.externalLink+xml"/>
  <Override PartName="/xl/externalLinks/externalLink796.xml" ContentType="application/vnd.openxmlformats-officedocument.spreadsheetml.externalLink+xml"/>
  <Override PartName="/xl/externalLinks/externalLink797.xml" ContentType="application/vnd.openxmlformats-officedocument.spreadsheetml.externalLink+xml"/>
  <Override PartName="/xl/externalLinks/externalLink798.xml" ContentType="application/vnd.openxmlformats-officedocument.spreadsheetml.externalLink+xml"/>
  <Override PartName="/xl/externalLinks/externalLink799.xml" ContentType="application/vnd.openxmlformats-officedocument.spreadsheetml.externalLink+xml"/>
  <Override PartName="/xl/externalLinks/externalLink800.xml" ContentType="application/vnd.openxmlformats-officedocument.spreadsheetml.externalLink+xml"/>
  <Override PartName="/xl/externalLinks/externalLink801.xml" ContentType="application/vnd.openxmlformats-officedocument.spreadsheetml.externalLink+xml"/>
  <Override PartName="/xl/externalLinks/externalLink802.xml" ContentType="application/vnd.openxmlformats-officedocument.spreadsheetml.externalLink+xml"/>
  <Override PartName="/xl/externalLinks/externalLink803.xml" ContentType="application/vnd.openxmlformats-officedocument.spreadsheetml.externalLink+xml"/>
  <Override PartName="/xl/externalLinks/externalLink804.xml" ContentType="application/vnd.openxmlformats-officedocument.spreadsheetml.externalLink+xml"/>
  <Override PartName="/xl/externalLinks/externalLink805.xml" ContentType="application/vnd.openxmlformats-officedocument.spreadsheetml.externalLink+xml"/>
  <Override PartName="/xl/externalLinks/externalLink806.xml" ContentType="application/vnd.openxmlformats-officedocument.spreadsheetml.externalLink+xml"/>
  <Override PartName="/xl/externalLinks/externalLink807.xml" ContentType="application/vnd.openxmlformats-officedocument.spreadsheetml.externalLink+xml"/>
  <Override PartName="/xl/externalLinks/externalLink808.xml" ContentType="application/vnd.openxmlformats-officedocument.spreadsheetml.externalLink+xml"/>
  <Override PartName="/xl/externalLinks/externalLink809.xml" ContentType="application/vnd.openxmlformats-officedocument.spreadsheetml.externalLink+xml"/>
  <Override PartName="/xl/externalLinks/externalLink810.xml" ContentType="application/vnd.openxmlformats-officedocument.spreadsheetml.externalLink+xml"/>
  <Override PartName="/xl/externalLinks/externalLink811.xml" ContentType="application/vnd.openxmlformats-officedocument.spreadsheetml.externalLink+xml"/>
  <Override PartName="/xl/externalLinks/externalLink812.xml" ContentType="application/vnd.openxmlformats-officedocument.spreadsheetml.externalLink+xml"/>
  <Override PartName="/xl/externalLinks/externalLink813.xml" ContentType="application/vnd.openxmlformats-officedocument.spreadsheetml.externalLink+xml"/>
  <Override PartName="/xl/externalLinks/externalLink814.xml" ContentType="application/vnd.openxmlformats-officedocument.spreadsheetml.externalLink+xml"/>
  <Override PartName="/xl/externalLinks/externalLink815.xml" ContentType="application/vnd.openxmlformats-officedocument.spreadsheetml.externalLink+xml"/>
  <Override PartName="/xl/externalLinks/externalLink816.xml" ContentType="application/vnd.openxmlformats-officedocument.spreadsheetml.externalLink+xml"/>
  <Override PartName="/xl/externalLinks/externalLink817.xml" ContentType="application/vnd.openxmlformats-officedocument.spreadsheetml.externalLink+xml"/>
  <Override PartName="/xl/externalLinks/externalLink818.xml" ContentType="application/vnd.openxmlformats-officedocument.spreadsheetml.externalLink+xml"/>
  <Override PartName="/xl/externalLinks/externalLink819.xml" ContentType="application/vnd.openxmlformats-officedocument.spreadsheetml.externalLink+xml"/>
  <Override PartName="/xl/externalLinks/externalLink820.xml" ContentType="application/vnd.openxmlformats-officedocument.spreadsheetml.externalLink+xml"/>
  <Override PartName="/xl/externalLinks/externalLink821.xml" ContentType="application/vnd.openxmlformats-officedocument.spreadsheetml.externalLink+xml"/>
  <Override PartName="/xl/externalLinks/externalLink822.xml" ContentType="application/vnd.openxmlformats-officedocument.spreadsheetml.externalLink+xml"/>
  <Override PartName="/xl/externalLinks/externalLink823.xml" ContentType="application/vnd.openxmlformats-officedocument.spreadsheetml.externalLink+xml"/>
  <Override PartName="/xl/externalLinks/externalLink824.xml" ContentType="application/vnd.openxmlformats-officedocument.spreadsheetml.externalLink+xml"/>
  <Override PartName="/xl/externalLinks/externalLink825.xml" ContentType="application/vnd.openxmlformats-officedocument.spreadsheetml.externalLink+xml"/>
  <Override PartName="/xl/externalLinks/externalLink826.xml" ContentType="application/vnd.openxmlformats-officedocument.spreadsheetml.externalLink+xml"/>
  <Override PartName="/xl/externalLinks/externalLink827.xml" ContentType="application/vnd.openxmlformats-officedocument.spreadsheetml.externalLink+xml"/>
  <Override PartName="/xl/externalLinks/externalLink828.xml" ContentType="application/vnd.openxmlformats-officedocument.spreadsheetml.externalLink+xml"/>
  <Override PartName="/xl/externalLinks/externalLink829.xml" ContentType="application/vnd.openxmlformats-officedocument.spreadsheetml.externalLink+xml"/>
  <Override PartName="/xl/externalLinks/externalLink830.xml" ContentType="application/vnd.openxmlformats-officedocument.spreadsheetml.externalLink+xml"/>
  <Override PartName="/xl/externalLinks/externalLink831.xml" ContentType="application/vnd.openxmlformats-officedocument.spreadsheetml.externalLink+xml"/>
  <Override PartName="/xl/externalLinks/externalLink832.xml" ContentType="application/vnd.openxmlformats-officedocument.spreadsheetml.externalLink+xml"/>
  <Override PartName="/xl/externalLinks/externalLink833.xml" ContentType="application/vnd.openxmlformats-officedocument.spreadsheetml.externalLink+xml"/>
  <Override PartName="/xl/externalLinks/externalLink834.xml" ContentType="application/vnd.openxmlformats-officedocument.spreadsheetml.externalLink+xml"/>
  <Override PartName="/xl/externalLinks/externalLink835.xml" ContentType="application/vnd.openxmlformats-officedocument.spreadsheetml.externalLink+xml"/>
  <Override PartName="/xl/externalLinks/externalLink836.xml" ContentType="application/vnd.openxmlformats-officedocument.spreadsheetml.externalLink+xml"/>
  <Override PartName="/xl/externalLinks/externalLink837.xml" ContentType="application/vnd.openxmlformats-officedocument.spreadsheetml.externalLink+xml"/>
  <Override PartName="/xl/externalLinks/externalLink838.xml" ContentType="application/vnd.openxmlformats-officedocument.spreadsheetml.externalLink+xml"/>
  <Override PartName="/xl/externalLinks/externalLink839.xml" ContentType="application/vnd.openxmlformats-officedocument.spreadsheetml.externalLink+xml"/>
  <Override PartName="/xl/externalLinks/externalLink840.xml" ContentType="application/vnd.openxmlformats-officedocument.spreadsheetml.externalLink+xml"/>
  <Override PartName="/xl/externalLinks/externalLink841.xml" ContentType="application/vnd.openxmlformats-officedocument.spreadsheetml.externalLink+xml"/>
  <Override PartName="/xl/externalLinks/externalLink842.xml" ContentType="application/vnd.openxmlformats-officedocument.spreadsheetml.externalLink+xml"/>
  <Override PartName="/xl/externalLinks/externalLink843.xml" ContentType="application/vnd.openxmlformats-officedocument.spreadsheetml.externalLink+xml"/>
  <Override PartName="/xl/externalLinks/externalLink844.xml" ContentType="application/vnd.openxmlformats-officedocument.spreadsheetml.externalLink+xml"/>
  <Override PartName="/xl/externalLinks/externalLink845.xml" ContentType="application/vnd.openxmlformats-officedocument.spreadsheetml.externalLink+xml"/>
  <Override PartName="/xl/externalLinks/externalLink846.xml" ContentType="application/vnd.openxmlformats-officedocument.spreadsheetml.externalLink+xml"/>
  <Override PartName="/xl/externalLinks/externalLink847.xml" ContentType="application/vnd.openxmlformats-officedocument.spreadsheetml.externalLink+xml"/>
  <Override PartName="/xl/externalLinks/externalLink848.xml" ContentType="application/vnd.openxmlformats-officedocument.spreadsheetml.externalLink+xml"/>
  <Override PartName="/xl/externalLinks/externalLink849.xml" ContentType="application/vnd.openxmlformats-officedocument.spreadsheetml.externalLink+xml"/>
  <Override PartName="/xl/externalLinks/externalLink850.xml" ContentType="application/vnd.openxmlformats-officedocument.spreadsheetml.externalLink+xml"/>
  <Override PartName="/xl/externalLinks/externalLink851.xml" ContentType="application/vnd.openxmlformats-officedocument.spreadsheetml.externalLink+xml"/>
  <Override PartName="/xl/externalLinks/externalLink852.xml" ContentType="application/vnd.openxmlformats-officedocument.spreadsheetml.externalLink+xml"/>
  <Override PartName="/xl/externalLinks/externalLink853.xml" ContentType="application/vnd.openxmlformats-officedocument.spreadsheetml.externalLink+xml"/>
  <Override PartName="/xl/externalLinks/externalLink854.xml" ContentType="application/vnd.openxmlformats-officedocument.spreadsheetml.externalLink+xml"/>
  <Override PartName="/xl/externalLinks/externalLink855.xml" ContentType="application/vnd.openxmlformats-officedocument.spreadsheetml.externalLink+xml"/>
  <Override PartName="/xl/externalLinks/externalLink856.xml" ContentType="application/vnd.openxmlformats-officedocument.spreadsheetml.externalLink+xml"/>
  <Override PartName="/xl/externalLinks/externalLink857.xml" ContentType="application/vnd.openxmlformats-officedocument.spreadsheetml.externalLink+xml"/>
  <Override PartName="/xl/externalLinks/externalLink858.xml" ContentType="application/vnd.openxmlformats-officedocument.spreadsheetml.externalLink+xml"/>
  <Override PartName="/xl/externalLinks/externalLink859.xml" ContentType="application/vnd.openxmlformats-officedocument.spreadsheetml.externalLink+xml"/>
  <Override PartName="/xl/externalLinks/externalLink860.xml" ContentType="application/vnd.openxmlformats-officedocument.spreadsheetml.externalLink+xml"/>
  <Override PartName="/xl/externalLinks/externalLink861.xml" ContentType="application/vnd.openxmlformats-officedocument.spreadsheetml.externalLink+xml"/>
  <Override PartName="/xl/externalLinks/externalLink862.xml" ContentType="application/vnd.openxmlformats-officedocument.spreadsheetml.externalLink+xml"/>
  <Override PartName="/xl/externalLinks/externalLink863.xml" ContentType="application/vnd.openxmlformats-officedocument.spreadsheetml.externalLink+xml"/>
  <Override PartName="/xl/externalLinks/externalLink864.xml" ContentType="application/vnd.openxmlformats-officedocument.spreadsheetml.externalLink+xml"/>
  <Override PartName="/xl/externalLinks/externalLink865.xml" ContentType="application/vnd.openxmlformats-officedocument.spreadsheetml.externalLink+xml"/>
  <Override PartName="/xl/externalLinks/externalLink866.xml" ContentType="application/vnd.openxmlformats-officedocument.spreadsheetml.externalLink+xml"/>
  <Override PartName="/xl/externalLinks/externalLink867.xml" ContentType="application/vnd.openxmlformats-officedocument.spreadsheetml.externalLink+xml"/>
  <Override PartName="/xl/externalLinks/externalLink868.xml" ContentType="application/vnd.openxmlformats-officedocument.spreadsheetml.externalLink+xml"/>
  <Override PartName="/xl/externalLinks/externalLink869.xml" ContentType="application/vnd.openxmlformats-officedocument.spreadsheetml.externalLink+xml"/>
  <Override PartName="/xl/externalLinks/externalLink870.xml" ContentType="application/vnd.openxmlformats-officedocument.spreadsheetml.externalLink+xml"/>
  <Override PartName="/xl/externalLinks/externalLink871.xml" ContentType="application/vnd.openxmlformats-officedocument.spreadsheetml.externalLink+xml"/>
  <Override PartName="/xl/externalLinks/externalLink872.xml" ContentType="application/vnd.openxmlformats-officedocument.spreadsheetml.externalLink+xml"/>
  <Override PartName="/xl/externalLinks/externalLink873.xml" ContentType="application/vnd.openxmlformats-officedocument.spreadsheetml.externalLink+xml"/>
  <Override PartName="/xl/externalLinks/externalLink874.xml" ContentType="application/vnd.openxmlformats-officedocument.spreadsheetml.externalLink+xml"/>
  <Override PartName="/xl/externalLinks/externalLink875.xml" ContentType="application/vnd.openxmlformats-officedocument.spreadsheetml.externalLink+xml"/>
  <Override PartName="/xl/externalLinks/externalLink876.xml" ContentType="application/vnd.openxmlformats-officedocument.spreadsheetml.externalLink+xml"/>
  <Override PartName="/xl/externalLinks/externalLink877.xml" ContentType="application/vnd.openxmlformats-officedocument.spreadsheetml.externalLink+xml"/>
  <Override PartName="/xl/externalLinks/externalLink878.xml" ContentType="application/vnd.openxmlformats-officedocument.spreadsheetml.externalLink+xml"/>
  <Override PartName="/xl/externalLinks/externalLink879.xml" ContentType="application/vnd.openxmlformats-officedocument.spreadsheetml.externalLink+xml"/>
  <Override PartName="/xl/externalLinks/externalLink880.xml" ContentType="application/vnd.openxmlformats-officedocument.spreadsheetml.externalLink+xml"/>
  <Override PartName="/xl/externalLinks/externalLink881.xml" ContentType="application/vnd.openxmlformats-officedocument.spreadsheetml.externalLink+xml"/>
  <Override PartName="/xl/externalLinks/externalLink882.xml" ContentType="application/vnd.openxmlformats-officedocument.spreadsheetml.externalLink+xml"/>
  <Override PartName="/xl/externalLinks/externalLink883.xml" ContentType="application/vnd.openxmlformats-officedocument.spreadsheetml.externalLink+xml"/>
  <Override PartName="/xl/externalLinks/externalLink884.xml" ContentType="application/vnd.openxmlformats-officedocument.spreadsheetml.externalLink+xml"/>
  <Override PartName="/xl/externalLinks/externalLink885.xml" ContentType="application/vnd.openxmlformats-officedocument.spreadsheetml.externalLink+xml"/>
  <Override PartName="/xl/externalLinks/externalLink886.xml" ContentType="application/vnd.openxmlformats-officedocument.spreadsheetml.externalLink+xml"/>
  <Override PartName="/xl/externalLinks/externalLink887.xml" ContentType="application/vnd.openxmlformats-officedocument.spreadsheetml.externalLink+xml"/>
  <Override PartName="/xl/externalLinks/externalLink888.xml" ContentType="application/vnd.openxmlformats-officedocument.spreadsheetml.externalLink+xml"/>
  <Override PartName="/xl/externalLinks/externalLink889.xml" ContentType="application/vnd.openxmlformats-officedocument.spreadsheetml.externalLink+xml"/>
  <Override PartName="/xl/externalLinks/externalLink890.xml" ContentType="application/vnd.openxmlformats-officedocument.spreadsheetml.externalLink+xml"/>
  <Override PartName="/xl/externalLinks/externalLink891.xml" ContentType="application/vnd.openxmlformats-officedocument.spreadsheetml.externalLink+xml"/>
  <Override PartName="/xl/externalLinks/externalLink892.xml" ContentType="application/vnd.openxmlformats-officedocument.spreadsheetml.externalLink+xml"/>
  <Override PartName="/xl/externalLinks/externalLink893.xml" ContentType="application/vnd.openxmlformats-officedocument.spreadsheetml.externalLink+xml"/>
  <Override PartName="/xl/externalLinks/externalLink894.xml" ContentType="application/vnd.openxmlformats-officedocument.spreadsheetml.externalLink+xml"/>
  <Override PartName="/xl/externalLinks/externalLink895.xml" ContentType="application/vnd.openxmlformats-officedocument.spreadsheetml.externalLink+xml"/>
  <Override PartName="/xl/externalLinks/externalLink896.xml" ContentType="application/vnd.openxmlformats-officedocument.spreadsheetml.externalLink+xml"/>
  <Override PartName="/xl/externalLinks/externalLink897.xml" ContentType="application/vnd.openxmlformats-officedocument.spreadsheetml.externalLink+xml"/>
  <Override PartName="/xl/externalLinks/externalLink898.xml" ContentType="application/vnd.openxmlformats-officedocument.spreadsheetml.externalLink+xml"/>
  <Override PartName="/xl/externalLinks/externalLink899.xml" ContentType="application/vnd.openxmlformats-officedocument.spreadsheetml.externalLink+xml"/>
  <Override PartName="/xl/externalLinks/externalLink900.xml" ContentType="application/vnd.openxmlformats-officedocument.spreadsheetml.externalLink+xml"/>
  <Override PartName="/xl/externalLinks/externalLink901.xml" ContentType="application/vnd.openxmlformats-officedocument.spreadsheetml.externalLink+xml"/>
  <Override PartName="/xl/externalLinks/externalLink902.xml" ContentType="application/vnd.openxmlformats-officedocument.spreadsheetml.externalLink+xml"/>
  <Override PartName="/xl/externalLinks/externalLink903.xml" ContentType="application/vnd.openxmlformats-officedocument.spreadsheetml.externalLink+xml"/>
  <Override PartName="/xl/externalLinks/externalLink904.xml" ContentType="application/vnd.openxmlformats-officedocument.spreadsheetml.externalLink+xml"/>
  <Override PartName="/xl/externalLinks/externalLink905.xml" ContentType="application/vnd.openxmlformats-officedocument.spreadsheetml.externalLink+xml"/>
  <Override PartName="/xl/externalLinks/externalLink906.xml" ContentType="application/vnd.openxmlformats-officedocument.spreadsheetml.externalLink+xml"/>
  <Override PartName="/xl/externalLinks/externalLink907.xml" ContentType="application/vnd.openxmlformats-officedocument.spreadsheetml.externalLink+xml"/>
  <Override PartName="/xl/externalLinks/externalLink908.xml" ContentType="application/vnd.openxmlformats-officedocument.spreadsheetml.externalLink+xml"/>
  <Override PartName="/xl/externalLinks/externalLink909.xml" ContentType="application/vnd.openxmlformats-officedocument.spreadsheetml.externalLink+xml"/>
  <Override PartName="/xl/externalLinks/externalLink910.xml" ContentType="application/vnd.openxmlformats-officedocument.spreadsheetml.externalLink+xml"/>
  <Override PartName="/xl/externalLinks/externalLink911.xml" ContentType="application/vnd.openxmlformats-officedocument.spreadsheetml.externalLink+xml"/>
  <Override PartName="/xl/externalLinks/externalLink912.xml" ContentType="application/vnd.openxmlformats-officedocument.spreadsheetml.externalLink+xml"/>
  <Override PartName="/xl/externalLinks/externalLink913.xml" ContentType="application/vnd.openxmlformats-officedocument.spreadsheetml.externalLink+xml"/>
  <Override PartName="/xl/externalLinks/externalLink914.xml" ContentType="application/vnd.openxmlformats-officedocument.spreadsheetml.externalLink+xml"/>
  <Override PartName="/xl/externalLinks/externalLink915.xml" ContentType="application/vnd.openxmlformats-officedocument.spreadsheetml.externalLink+xml"/>
  <Override PartName="/xl/externalLinks/externalLink916.xml" ContentType="application/vnd.openxmlformats-officedocument.spreadsheetml.externalLink+xml"/>
  <Override PartName="/xl/externalLinks/externalLink917.xml" ContentType="application/vnd.openxmlformats-officedocument.spreadsheetml.externalLink+xml"/>
  <Override PartName="/xl/externalLinks/externalLink918.xml" ContentType="application/vnd.openxmlformats-officedocument.spreadsheetml.externalLink+xml"/>
  <Override PartName="/xl/externalLinks/externalLink919.xml" ContentType="application/vnd.openxmlformats-officedocument.spreadsheetml.externalLink+xml"/>
  <Override PartName="/xl/externalLinks/externalLink920.xml" ContentType="application/vnd.openxmlformats-officedocument.spreadsheetml.externalLink+xml"/>
  <Override PartName="/xl/externalLinks/externalLink921.xml" ContentType="application/vnd.openxmlformats-officedocument.spreadsheetml.externalLink+xml"/>
  <Override PartName="/xl/externalLinks/externalLink922.xml" ContentType="application/vnd.openxmlformats-officedocument.spreadsheetml.externalLink+xml"/>
  <Override PartName="/xl/externalLinks/externalLink923.xml" ContentType="application/vnd.openxmlformats-officedocument.spreadsheetml.externalLink+xml"/>
  <Override PartName="/xl/externalLinks/externalLink924.xml" ContentType="application/vnd.openxmlformats-officedocument.spreadsheetml.externalLink+xml"/>
  <Override PartName="/xl/externalLinks/externalLink925.xml" ContentType="application/vnd.openxmlformats-officedocument.spreadsheetml.externalLink+xml"/>
  <Override PartName="/xl/externalLinks/externalLink926.xml" ContentType="application/vnd.openxmlformats-officedocument.spreadsheetml.externalLink+xml"/>
  <Override PartName="/xl/externalLinks/externalLink927.xml" ContentType="application/vnd.openxmlformats-officedocument.spreadsheetml.externalLink+xml"/>
  <Override PartName="/xl/externalLinks/externalLink928.xml" ContentType="application/vnd.openxmlformats-officedocument.spreadsheetml.externalLink+xml"/>
  <Override PartName="/xl/externalLinks/externalLink929.xml" ContentType="application/vnd.openxmlformats-officedocument.spreadsheetml.externalLink+xml"/>
  <Override PartName="/xl/externalLinks/externalLink930.xml" ContentType="application/vnd.openxmlformats-officedocument.spreadsheetml.externalLink+xml"/>
  <Override PartName="/xl/externalLinks/externalLink931.xml" ContentType="application/vnd.openxmlformats-officedocument.spreadsheetml.externalLink+xml"/>
  <Override PartName="/xl/externalLinks/externalLink932.xml" ContentType="application/vnd.openxmlformats-officedocument.spreadsheetml.externalLink+xml"/>
  <Override PartName="/xl/externalLinks/externalLink933.xml" ContentType="application/vnd.openxmlformats-officedocument.spreadsheetml.externalLink+xml"/>
  <Override PartName="/xl/externalLinks/externalLink934.xml" ContentType="application/vnd.openxmlformats-officedocument.spreadsheetml.externalLink+xml"/>
  <Override PartName="/xl/externalLinks/externalLink935.xml" ContentType="application/vnd.openxmlformats-officedocument.spreadsheetml.externalLink+xml"/>
  <Override PartName="/xl/externalLinks/externalLink936.xml" ContentType="application/vnd.openxmlformats-officedocument.spreadsheetml.externalLink+xml"/>
  <Override PartName="/xl/externalLinks/externalLink937.xml" ContentType="application/vnd.openxmlformats-officedocument.spreadsheetml.externalLink+xml"/>
  <Override PartName="/xl/externalLinks/externalLink938.xml" ContentType="application/vnd.openxmlformats-officedocument.spreadsheetml.externalLink+xml"/>
  <Override PartName="/xl/externalLinks/externalLink939.xml" ContentType="application/vnd.openxmlformats-officedocument.spreadsheetml.externalLink+xml"/>
  <Override PartName="/xl/externalLinks/externalLink940.xml" ContentType="application/vnd.openxmlformats-officedocument.spreadsheetml.externalLink+xml"/>
  <Override PartName="/xl/externalLinks/externalLink941.xml" ContentType="application/vnd.openxmlformats-officedocument.spreadsheetml.externalLink+xml"/>
  <Override PartName="/xl/externalLinks/externalLink942.xml" ContentType="application/vnd.openxmlformats-officedocument.spreadsheetml.externalLink+xml"/>
  <Override PartName="/xl/externalLinks/externalLink943.xml" ContentType="application/vnd.openxmlformats-officedocument.spreadsheetml.externalLink+xml"/>
  <Override PartName="/xl/externalLinks/externalLink944.xml" ContentType="application/vnd.openxmlformats-officedocument.spreadsheetml.externalLink+xml"/>
  <Override PartName="/xl/externalLinks/externalLink945.xml" ContentType="application/vnd.openxmlformats-officedocument.spreadsheetml.externalLink+xml"/>
  <Override PartName="/xl/externalLinks/externalLink946.xml" ContentType="application/vnd.openxmlformats-officedocument.spreadsheetml.externalLink+xml"/>
  <Override PartName="/xl/externalLinks/externalLink947.xml" ContentType="application/vnd.openxmlformats-officedocument.spreadsheetml.externalLink+xml"/>
  <Override PartName="/xl/externalLinks/externalLink948.xml" ContentType="application/vnd.openxmlformats-officedocument.spreadsheetml.externalLink+xml"/>
  <Override PartName="/xl/externalLinks/externalLink949.xml" ContentType="application/vnd.openxmlformats-officedocument.spreadsheetml.externalLink+xml"/>
  <Override PartName="/xl/externalLinks/externalLink950.xml" ContentType="application/vnd.openxmlformats-officedocument.spreadsheetml.externalLink+xml"/>
  <Override PartName="/xl/externalLinks/externalLink951.xml" ContentType="application/vnd.openxmlformats-officedocument.spreadsheetml.externalLink+xml"/>
  <Override PartName="/xl/externalLinks/externalLink952.xml" ContentType="application/vnd.openxmlformats-officedocument.spreadsheetml.externalLink+xml"/>
  <Override PartName="/xl/externalLinks/externalLink953.xml" ContentType="application/vnd.openxmlformats-officedocument.spreadsheetml.externalLink+xml"/>
  <Override PartName="/xl/externalLinks/externalLink954.xml" ContentType="application/vnd.openxmlformats-officedocument.spreadsheetml.externalLink+xml"/>
  <Override PartName="/xl/externalLinks/externalLink955.xml" ContentType="application/vnd.openxmlformats-officedocument.spreadsheetml.externalLink+xml"/>
  <Override PartName="/xl/externalLinks/externalLink956.xml" ContentType="application/vnd.openxmlformats-officedocument.spreadsheetml.externalLink+xml"/>
  <Override PartName="/xl/externalLinks/externalLink957.xml" ContentType="application/vnd.openxmlformats-officedocument.spreadsheetml.externalLink+xml"/>
  <Override PartName="/xl/externalLinks/externalLink958.xml" ContentType="application/vnd.openxmlformats-officedocument.spreadsheetml.externalLink+xml"/>
  <Override PartName="/xl/externalLinks/externalLink959.xml" ContentType="application/vnd.openxmlformats-officedocument.spreadsheetml.externalLink+xml"/>
  <Override PartName="/xl/externalLinks/externalLink960.xml" ContentType="application/vnd.openxmlformats-officedocument.spreadsheetml.externalLink+xml"/>
  <Override PartName="/xl/externalLinks/externalLink961.xml" ContentType="application/vnd.openxmlformats-officedocument.spreadsheetml.externalLink+xml"/>
  <Override PartName="/xl/externalLinks/externalLink962.xml" ContentType="application/vnd.openxmlformats-officedocument.spreadsheetml.externalLink+xml"/>
  <Override PartName="/xl/externalLinks/externalLink963.xml" ContentType="application/vnd.openxmlformats-officedocument.spreadsheetml.externalLink+xml"/>
  <Override PartName="/xl/externalLinks/externalLink964.xml" ContentType="application/vnd.openxmlformats-officedocument.spreadsheetml.externalLink+xml"/>
  <Override PartName="/xl/externalLinks/externalLink965.xml" ContentType="application/vnd.openxmlformats-officedocument.spreadsheetml.externalLink+xml"/>
  <Override PartName="/xl/externalLinks/externalLink966.xml" ContentType="application/vnd.openxmlformats-officedocument.spreadsheetml.externalLink+xml"/>
  <Override PartName="/xl/externalLinks/externalLink967.xml" ContentType="application/vnd.openxmlformats-officedocument.spreadsheetml.externalLink+xml"/>
  <Override PartName="/xl/externalLinks/externalLink968.xml" ContentType="application/vnd.openxmlformats-officedocument.spreadsheetml.externalLink+xml"/>
  <Override PartName="/xl/externalLinks/externalLink969.xml" ContentType="application/vnd.openxmlformats-officedocument.spreadsheetml.externalLink+xml"/>
  <Override PartName="/xl/externalLinks/externalLink970.xml" ContentType="application/vnd.openxmlformats-officedocument.spreadsheetml.externalLink+xml"/>
  <Override PartName="/xl/externalLinks/externalLink971.xml" ContentType="application/vnd.openxmlformats-officedocument.spreadsheetml.externalLink+xml"/>
  <Override PartName="/xl/externalLinks/externalLink972.xml" ContentType="application/vnd.openxmlformats-officedocument.spreadsheetml.externalLink+xml"/>
  <Override PartName="/xl/externalLinks/externalLink973.xml" ContentType="application/vnd.openxmlformats-officedocument.spreadsheetml.externalLink+xml"/>
  <Override PartName="/xl/externalLinks/externalLink974.xml" ContentType="application/vnd.openxmlformats-officedocument.spreadsheetml.externalLink+xml"/>
  <Override PartName="/xl/externalLinks/externalLink975.xml" ContentType="application/vnd.openxmlformats-officedocument.spreadsheetml.externalLink+xml"/>
  <Override PartName="/xl/externalLinks/externalLink976.xml" ContentType="application/vnd.openxmlformats-officedocument.spreadsheetml.externalLink+xml"/>
  <Override PartName="/xl/externalLinks/externalLink977.xml" ContentType="application/vnd.openxmlformats-officedocument.spreadsheetml.externalLink+xml"/>
  <Override PartName="/xl/externalLinks/externalLink978.xml" ContentType="application/vnd.openxmlformats-officedocument.spreadsheetml.externalLink+xml"/>
  <Override PartName="/xl/externalLinks/externalLink979.xml" ContentType="application/vnd.openxmlformats-officedocument.spreadsheetml.externalLink+xml"/>
  <Override PartName="/xl/externalLinks/externalLink980.xml" ContentType="application/vnd.openxmlformats-officedocument.spreadsheetml.externalLink+xml"/>
  <Override PartName="/xl/externalLinks/externalLink981.xml" ContentType="application/vnd.openxmlformats-officedocument.spreadsheetml.externalLink+xml"/>
  <Override PartName="/xl/externalLinks/externalLink982.xml" ContentType="application/vnd.openxmlformats-officedocument.spreadsheetml.externalLink+xml"/>
  <Override PartName="/xl/externalLinks/externalLink983.xml" ContentType="application/vnd.openxmlformats-officedocument.spreadsheetml.externalLink+xml"/>
  <Override PartName="/xl/externalLinks/externalLink984.xml" ContentType="application/vnd.openxmlformats-officedocument.spreadsheetml.externalLink+xml"/>
  <Override PartName="/xl/externalLinks/externalLink985.xml" ContentType="application/vnd.openxmlformats-officedocument.spreadsheetml.externalLink+xml"/>
  <Override PartName="/xl/externalLinks/externalLink986.xml" ContentType="application/vnd.openxmlformats-officedocument.spreadsheetml.externalLink+xml"/>
  <Override PartName="/xl/externalLinks/externalLink987.xml" ContentType="application/vnd.openxmlformats-officedocument.spreadsheetml.externalLink+xml"/>
  <Override PartName="/xl/externalLinks/externalLink988.xml" ContentType="application/vnd.openxmlformats-officedocument.spreadsheetml.externalLink+xml"/>
  <Override PartName="/xl/externalLinks/externalLink989.xml" ContentType="application/vnd.openxmlformats-officedocument.spreadsheetml.externalLink+xml"/>
  <Override PartName="/xl/externalLinks/externalLink990.xml" ContentType="application/vnd.openxmlformats-officedocument.spreadsheetml.externalLink+xml"/>
  <Override PartName="/xl/externalLinks/externalLink991.xml" ContentType="application/vnd.openxmlformats-officedocument.spreadsheetml.externalLink+xml"/>
  <Override PartName="/xl/externalLinks/externalLink992.xml" ContentType="application/vnd.openxmlformats-officedocument.spreadsheetml.externalLink+xml"/>
  <Override PartName="/xl/externalLinks/externalLink993.xml" ContentType="application/vnd.openxmlformats-officedocument.spreadsheetml.externalLink+xml"/>
  <Override PartName="/xl/externalLinks/externalLink994.xml" ContentType="application/vnd.openxmlformats-officedocument.spreadsheetml.externalLink+xml"/>
  <Override PartName="/xl/externalLinks/externalLink995.xml" ContentType="application/vnd.openxmlformats-officedocument.spreadsheetml.externalLink+xml"/>
  <Override PartName="/xl/externalLinks/externalLink996.xml" ContentType="application/vnd.openxmlformats-officedocument.spreadsheetml.externalLink+xml"/>
  <Override PartName="/xl/externalLinks/externalLink997.xml" ContentType="application/vnd.openxmlformats-officedocument.spreadsheetml.externalLink+xml"/>
  <Override PartName="/xl/externalLinks/externalLink998.xml" ContentType="application/vnd.openxmlformats-officedocument.spreadsheetml.externalLink+xml"/>
  <Override PartName="/xl/externalLinks/externalLink999.xml" ContentType="application/vnd.openxmlformats-officedocument.spreadsheetml.externalLink+xml"/>
  <Override PartName="/xl/externalLinks/externalLink1000.xml" ContentType="application/vnd.openxmlformats-officedocument.spreadsheetml.externalLink+xml"/>
  <Override PartName="/xl/externalLinks/externalLink1001.xml" ContentType="application/vnd.openxmlformats-officedocument.spreadsheetml.externalLink+xml"/>
  <Override PartName="/xl/externalLinks/externalLink1002.xml" ContentType="application/vnd.openxmlformats-officedocument.spreadsheetml.externalLink+xml"/>
  <Override PartName="/xl/externalLinks/externalLink1003.xml" ContentType="application/vnd.openxmlformats-officedocument.spreadsheetml.externalLink+xml"/>
  <Override PartName="/xl/externalLinks/externalLink1004.xml" ContentType="application/vnd.openxmlformats-officedocument.spreadsheetml.externalLink+xml"/>
  <Override PartName="/xl/externalLinks/externalLink1005.xml" ContentType="application/vnd.openxmlformats-officedocument.spreadsheetml.externalLink+xml"/>
  <Override PartName="/xl/externalLinks/externalLink1006.xml" ContentType="application/vnd.openxmlformats-officedocument.spreadsheetml.externalLink+xml"/>
  <Override PartName="/xl/externalLinks/externalLink1007.xml" ContentType="application/vnd.openxmlformats-officedocument.spreadsheetml.externalLink+xml"/>
  <Override PartName="/xl/externalLinks/externalLink1008.xml" ContentType="application/vnd.openxmlformats-officedocument.spreadsheetml.externalLink+xml"/>
  <Override PartName="/xl/externalLinks/externalLink1009.xml" ContentType="application/vnd.openxmlformats-officedocument.spreadsheetml.externalLink+xml"/>
  <Override PartName="/xl/externalLinks/externalLink1010.xml" ContentType="application/vnd.openxmlformats-officedocument.spreadsheetml.externalLink+xml"/>
  <Override PartName="/xl/externalLinks/externalLink1011.xml" ContentType="application/vnd.openxmlformats-officedocument.spreadsheetml.externalLink+xml"/>
  <Override PartName="/xl/externalLinks/externalLink1012.xml" ContentType="application/vnd.openxmlformats-officedocument.spreadsheetml.externalLink+xml"/>
  <Override PartName="/xl/externalLinks/externalLink1013.xml" ContentType="application/vnd.openxmlformats-officedocument.spreadsheetml.externalLink+xml"/>
  <Override PartName="/xl/externalLinks/externalLink1014.xml" ContentType="application/vnd.openxmlformats-officedocument.spreadsheetml.externalLink+xml"/>
  <Override PartName="/xl/externalLinks/externalLink1015.xml" ContentType="application/vnd.openxmlformats-officedocument.spreadsheetml.externalLink+xml"/>
  <Override PartName="/xl/externalLinks/externalLink1016.xml" ContentType="application/vnd.openxmlformats-officedocument.spreadsheetml.externalLink+xml"/>
  <Override PartName="/xl/externalLinks/externalLink1017.xml" ContentType="application/vnd.openxmlformats-officedocument.spreadsheetml.externalLink+xml"/>
  <Override PartName="/xl/externalLinks/externalLink1018.xml" ContentType="application/vnd.openxmlformats-officedocument.spreadsheetml.externalLink+xml"/>
  <Override PartName="/xl/externalLinks/externalLink1019.xml" ContentType="application/vnd.openxmlformats-officedocument.spreadsheetml.externalLink+xml"/>
  <Override PartName="/xl/externalLinks/externalLink1020.xml" ContentType="application/vnd.openxmlformats-officedocument.spreadsheetml.externalLink+xml"/>
  <Override PartName="/xl/externalLinks/externalLink1021.xml" ContentType="application/vnd.openxmlformats-officedocument.spreadsheetml.externalLink+xml"/>
  <Override PartName="/xl/externalLinks/externalLink1022.xml" ContentType="application/vnd.openxmlformats-officedocument.spreadsheetml.externalLink+xml"/>
  <Override PartName="/xl/externalLinks/externalLink1023.xml" ContentType="application/vnd.openxmlformats-officedocument.spreadsheetml.externalLink+xml"/>
  <Override PartName="/xl/externalLinks/externalLink1024.xml" ContentType="application/vnd.openxmlformats-officedocument.spreadsheetml.externalLink+xml"/>
  <Override PartName="/xl/externalLinks/externalLink1025.xml" ContentType="application/vnd.openxmlformats-officedocument.spreadsheetml.externalLink+xml"/>
  <Override PartName="/xl/externalLinks/externalLink1026.xml" ContentType="application/vnd.openxmlformats-officedocument.spreadsheetml.externalLink+xml"/>
  <Override PartName="/xl/externalLinks/externalLink1027.xml" ContentType="application/vnd.openxmlformats-officedocument.spreadsheetml.externalLink+xml"/>
  <Override PartName="/xl/externalLinks/externalLink1028.xml" ContentType="application/vnd.openxmlformats-officedocument.spreadsheetml.externalLink+xml"/>
  <Override PartName="/xl/externalLinks/externalLink1029.xml" ContentType="application/vnd.openxmlformats-officedocument.spreadsheetml.externalLink+xml"/>
  <Override PartName="/xl/externalLinks/externalLink1030.xml" ContentType="application/vnd.openxmlformats-officedocument.spreadsheetml.externalLink+xml"/>
  <Override PartName="/xl/externalLinks/externalLink1031.xml" ContentType="application/vnd.openxmlformats-officedocument.spreadsheetml.externalLink+xml"/>
  <Override PartName="/xl/externalLinks/externalLink1032.xml" ContentType="application/vnd.openxmlformats-officedocument.spreadsheetml.externalLink+xml"/>
  <Override PartName="/xl/externalLinks/externalLink1033.xml" ContentType="application/vnd.openxmlformats-officedocument.spreadsheetml.externalLink+xml"/>
  <Override PartName="/xl/externalLinks/externalLink1034.xml" ContentType="application/vnd.openxmlformats-officedocument.spreadsheetml.externalLink+xml"/>
  <Override PartName="/xl/externalLinks/externalLink1035.xml" ContentType="application/vnd.openxmlformats-officedocument.spreadsheetml.externalLink+xml"/>
  <Override PartName="/xl/externalLinks/externalLink1036.xml" ContentType="application/vnd.openxmlformats-officedocument.spreadsheetml.externalLink+xml"/>
  <Override PartName="/xl/externalLinks/externalLink1037.xml" ContentType="application/vnd.openxmlformats-officedocument.spreadsheetml.externalLink+xml"/>
  <Override PartName="/xl/externalLinks/externalLink1038.xml" ContentType="application/vnd.openxmlformats-officedocument.spreadsheetml.externalLink+xml"/>
  <Override PartName="/xl/externalLinks/externalLink1039.xml" ContentType="application/vnd.openxmlformats-officedocument.spreadsheetml.externalLink+xml"/>
  <Override PartName="/xl/externalLinks/externalLink1040.xml" ContentType="application/vnd.openxmlformats-officedocument.spreadsheetml.externalLink+xml"/>
  <Override PartName="/xl/externalLinks/externalLink1041.xml" ContentType="application/vnd.openxmlformats-officedocument.spreadsheetml.externalLink+xml"/>
  <Override PartName="/xl/externalLinks/externalLink1042.xml" ContentType="application/vnd.openxmlformats-officedocument.spreadsheetml.externalLink+xml"/>
  <Override PartName="/xl/externalLinks/externalLink1043.xml" ContentType="application/vnd.openxmlformats-officedocument.spreadsheetml.externalLink+xml"/>
  <Override PartName="/xl/externalLinks/externalLink1044.xml" ContentType="application/vnd.openxmlformats-officedocument.spreadsheetml.externalLink+xml"/>
  <Override PartName="/xl/externalLinks/externalLink1045.xml" ContentType="application/vnd.openxmlformats-officedocument.spreadsheetml.externalLink+xml"/>
  <Override PartName="/xl/externalLinks/externalLink1046.xml" ContentType="application/vnd.openxmlformats-officedocument.spreadsheetml.externalLink+xml"/>
  <Override PartName="/xl/externalLinks/externalLink1047.xml" ContentType="application/vnd.openxmlformats-officedocument.spreadsheetml.externalLink+xml"/>
  <Override PartName="/xl/externalLinks/externalLink1048.xml" ContentType="application/vnd.openxmlformats-officedocument.spreadsheetml.externalLink+xml"/>
  <Override PartName="/xl/externalLinks/externalLink1049.xml" ContentType="application/vnd.openxmlformats-officedocument.spreadsheetml.externalLink+xml"/>
  <Override PartName="/xl/externalLinks/externalLink1050.xml" ContentType="application/vnd.openxmlformats-officedocument.spreadsheetml.externalLink+xml"/>
  <Override PartName="/xl/externalLinks/externalLink1051.xml" ContentType="application/vnd.openxmlformats-officedocument.spreadsheetml.externalLink+xml"/>
  <Override PartName="/xl/externalLinks/externalLink1052.xml" ContentType="application/vnd.openxmlformats-officedocument.spreadsheetml.externalLink+xml"/>
  <Override PartName="/xl/externalLinks/externalLink1053.xml" ContentType="application/vnd.openxmlformats-officedocument.spreadsheetml.externalLink+xml"/>
  <Override PartName="/xl/externalLinks/externalLink1054.xml" ContentType="application/vnd.openxmlformats-officedocument.spreadsheetml.externalLink+xml"/>
  <Override PartName="/xl/externalLinks/externalLink1055.xml" ContentType="application/vnd.openxmlformats-officedocument.spreadsheetml.externalLink+xml"/>
  <Override PartName="/xl/externalLinks/externalLink1056.xml" ContentType="application/vnd.openxmlformats-officedocument.spreadsheetml.externalLink+xml"/>
  <Override PartName="/xl/externalLinks/externalLink1057.xml" ContentType="application/vnd.openxmlformats-officedocument.spreadsheetml.externalLink+xml"/>
  <Override PartName="/xl/externalLinks/externalLink1058.xml" ContentType="application/vnd.openxmlformats-officedocument.spreadsheetml.externalLink+xml"/>
  <Override PartName="/xl/externalLinks/externalLink1059.xml" ContentType="application/vnd.openxmlformats-officedocument.spreadsheetml.externalLink+xml"/>
  <Override PartName="/xl/externalLinks/externalLink1060.xml" ContentType="application/vnd.openxmlformats-officedocument.spreadsheetml.externalLink+xml"/>
  <Override PartName="/xl/externalLinks/externalLink1061.xml" ContentType="application/vnd.openxmlformats-officedocument.spreadsheetml.externalLink+xml"/>
  <Override PartName="/xl/externalLinks/externalLink1062.xml" ContentType="application/vnd.openxmlformats-officedocument.spreadsheetml.externalLink+xml"/>
  <Override PartName="/xl/externalLinks/externalLink1063.xml" ContentType="application/vnd.openxmlformats-officedocument.spreadsheetml.externalLink+xml"/>
  <Override PartName="/xl/externalLinks/externalLink1064.xml" ContentType="application/vnd.openxmlformats-officedocument.spreadsheetml.externalLink+xml"/>
  <Override PartName="/xl/externalLinks/externalLink1065.xml" ContentType="application/vnd.openxmlformats-officedocument.spreadsheetml.externalLink+xml"/>
  <Override PartName="/xl/externalLinks/externalLink1066.xml" ContentType="application/vnd.openxmlformats-officedocument.spreadsheetml.externalLink+xml"/>
  <Override PartName="/xl/externalLinks/externalLink1067.xml" ContentType="application/vnd.openxmlformats-officedocument.spreadsheetml.externalLink+xml"/>
  <Override PartName="/xl/externalLinks/externalLink1068.xml" ContentType="application/vnd.openxmlformats-officedocument.spreadsheetml.externalLink+xml"/>
  <Override PartName="/xl/externalLinks/externalLink1069.xml" ContentType="application/vnd.openxmlformats-officedocument.spreadsheetml.externalLink+xml"/>
  <Override PartName="/xl/externalLinks/externalLink1070.xml" ContentType="application/vnd.openxmlformats-officedocument.spreadsheetml.externalLink+xml"/>
  <Override PartName="/xl/externalLinks/externalLink1071.xml" ContentType="application/vnd.openxmlformats-officedocument.spreadsheetml.externalLink+xml"/>
  <Override PartName="/xl/externalLinks/externalLink1072.xml" ContentType="application/vnd.openxmlformats-officedocument.spreadsheetml.externalLink+xml"/>
  <Override PartName="/xl/externalLinks/externalLink1073.xml" ContentType="application/vnd.openxmlformats-officedocument.spreadsheetml.externalLink+xml"/>
  <Override PartName="/xl/externalLinks/externalLink1074.xml" ContentType="application/vnd.openxmlformats-officedocument.spreadsheetml.externalLink+xml"/>
  <Override PartName="/xl/externalLinks/externalLink1075.xml" ContentType="application/vnd.openxmlformats-officedocument.spreadsheetml.externalLink+xml"/>
  <Override PartName="/xl/externalLinks/externalLink1076.xml" ContentType="application/vnd.openxmlformats-officedocument.spreadsheetml.externalLink+xml"/>
  <Override PartName="/xl/externalLinks/externalLink1077.xml" ContentType="application/vnd.openxmlformats-officedocument.spreadsheetml.externalLink+xml"/>
  <Override PartName="/xl/externalLinks/externalLink1078.xml" ContentType="application/vnd.openxmlformats-officedocument.spreadsheetml.externalLink+xml"/>
  <Override PartName="/xl/externalLinks/externalLink1079.xml" ContentType="application/vnd.openxmlformats-officedocument.spreadsheetml.externalLink+xml"/>
  <Override PartName="/xl/externalLinks/externalLink1080.xml" ContentType="application/vnd.openxmlformats-officedocument.spreadsheetml.externalLink+xml"/>
  <Override PartName="/xl/externalLinks/externalLink1081.xml" ContentType="application/vnd.openxmlformats-officedocument.spreadsheetml.externalLink+xml"/>
  <Override PartName="/xl/externalLinks/externalLink1082.xml" ContentType="application/vnd.openxmlformats-officedocument.spreadsheetml.externalLink+xml"/>
  <Override PartName="/xl/externalLinks/externalLink1083.xml" ContentType="application/vnd.openxmlformats-officedocument.spreadsheetml.externalLink+xml"/>
  <Override PartName="/xl/externalLinks/externalLink1084.xml" ContentType="application/vnd.openxmlformats-officedocument.spreadsheetml.externalLink+xml"/>
  <Override PartName="/xl/externalLinks/externalLink1085.xml" ContentType="application/vnd.openxmlformats-officedocument.spreadsheetml.externalLink+xml"/>
  <Override PartName="/xl/externalLinks/externalLink1086.xml" ContentType="application/vnd.openxmlformats-officedocument.spreadsheetml.externalLink+xml"/>
  <Override PartName="/xl/externalLinks/externalLink1087.xml" ContentType="application/vnd.openxmlformats-officedocument.spreadsheetml.externalLink+xml"/>
  <Override PartName="/xl/externalLinks/externalLink1088.xml" ContentType="application/vnd.openxmlformats-officedocument.spreadsheetml.externalLink+xml"/>
  <Override PartName="/xl/externalLinks/externalLink1089.xml" ContentType="application/vnd.openxmlformats-officedocument.spreadsheetml.externalLink+xml"/>
  <Override PartName="/xl/externalLinks/externalLink1090.xml" ContentType="application/vnd.openxmlformats-officedocument.spreadsheetml.externalLink+xml"/>
  <Override PartName="/xl/externalLinks/externalLink1091.xml" ContentType="application/vnd.openxmlformats-officedocument.spreadsheetml.externalLink+xml"/>
  <Override PartName="/xl/externalLinks/externalLink1092.xml" ContentType="application/vnd.openxmlformats-officedocument.spreadsheetml.externalLink+xml"/>
  <Override PartName="/xl/externalLinks/externalLink1093.xml" ContentType="application/vnd.openxmlformats-officedocument.spreadsheetml.externalLink+xml"/>
  <Override PartName="/xl/externalLinks/externalLink1094.xml" ContentType="application/vnd.openxmlformats-officedocument.spreadsheetml.externalLink+xml"/>
  <Override PartName="/xl/externalLinks/externalLink1095.xml" ContentType="application/vnd.openxmlformats-officedocument.spreadsheetml.externalLink+xml"/>
  <Override PartName="/xl/externalLinks/externalLink1096.xml" ContentType="application/vnd.openxmlformats-officedocument.spreadsheetml.externalLink+xml"/>
  <Override PartName="/xl/externalLinks/externalLink1097.xml" ContentType="application/vnd.openxmlformats-officedocument.spreadsheetml.externalLink+xml"/>
  <Override PartName="/xl/externalLinks/externalLink1098.xml" ContentType="application/vnd.openxmlformats-officedocument.spreadsheetml.externalLink+xml"/>
  <Override PartName="/xl/externalLinks/externalLink1099.xml" ContentType="application/vnd.openxmlformats-officedocument.spreadsheetml.externalLink+xml"/>
  <Override PartName="/xl/externalLinks/externalLink110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00000 PLAN NACIONAL DE ESTADISTICA JUDICIAL\3002 Actividad de los Órganos Judiciales -Series Estadisticas\Modelos -PROVINCIAS\FICHEROS A PUBLICAR\"/>
    </mc:Choice>
  </mc:AlternateContent>
  <xr:revisionPtr revIDLastSave="0" documentId="13_ncr:1_{5E7081EA-388B-4B76-AC3F-AE60B4209879}" xr6:coauthVersionLast="47" xr6:coauthVersionMax="47" xr10:uidLastSave="{00000000-0000-0000-0000-000000000000}"/>
  <bookViews>
    <workbookView xWindow="-120" yWindow="-120" windowWidth="29040" windowHeight="15840" tabRatio="861" xr2:uid="{00000000-000D-0000-FFFF-FFFF00000000}"/>
  </bookViews>
  <sheets>
    <sheet name="Introducción" sheetId="5" r:id="rId1"/>
    <sheet name="Serie total" sheetId="11" r:id="rId2"/>
    <sheet name="Serie Civil" sheetId="51" r:id="rId3"/>
    <sheet name="Serie Penal" sheetId="52" r:id="rId4"/>
    <sheet name="Serie Contencioso Adm." sheetId="53" r:id="rId5"/>
    <sheet name="Serie Social" sheetId="54" r:id="rId6"/>
    <sheet name="2022" sheetId="55" r:id="rId7"/>
    <sheet name="2021" sheetId="27" r:id="rId8"/>
    <sheet name="2020" sheetId="30" r:id="rId9"/>
    <sheet name="2019" sheetId="31" r:id="rId10"/>
    <sheet name="2018" sheetId="33" r:id="rId11"/>
    <sheet name="2017" sheetId="34" r:id="rId12"/>
    <sheet name="2016" sheetId="35" r:id="rId13"/>
    <sheet name="2015" sheetId="36" r:id="rId14"/>
    <sheet name="2014" sheetId="37" r:id="rId15"/>
    <sheet name="2013" sheetId="38" r:id="rId16"/>
    <sheet name="2012" sheetId="39" r:id="rId17"/>
    <sheet name="2011" sheetId="40" r:id="rId18"/>
    <sheet name="2010" sheetId="41" r:id="rId19"/>
    <sheet name="2009" sheetId="42" r:id="rId20"/>
    <sheet name="2008" sheetId="43" r:id="rId21"/>
    <sheet name="2007" sheetId="44" r:id="rId22"/>
    <sheet name="2006" sheetId="45" r:id="rId23"/>
    <sheet name="2005" sheetId="46" r:id="rId24"/>
    <sheet name="2004" sheetId="47" r:id="rId25"/>
    <sheet name="2003" sheetId="48" r:id="rId26"/>
    <sheet name="2002" sheetId="49" r:id="rId27"/>
    <sheet name="2001" sheetId="50" r:id="rId28"/>
  </sheets>
  <externalReferences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  <externalReference r:id="rId178"/>
    <externalReference r:id="rId179"/>
    <externalReference r:id="rId180"/>
    <externalReference r:id="rId181"/>
    <externalReference r:id="rId182"/>
    <externalReference r:id="rId183"/>
    <externalReference r:id="rId184"/>
    <externalReference r:id="rId185"/>
    <externalReference r:id="rId186"/>
    <externalReference r:id="rId187"/>
    <externalReference r:id="rId188"/>
    <externalReference r:id="rId189"/>
    <externalReference r:id="rId190"/>
    <externalReference r:id="rId191"/>
    <externalReference r:id="rId192"/>
    <externalReference r:id="rId193"/>
    <externalReference r:id="rId194"/>
    <externalReference r:id="rId195"/>
    <externalReference r:id="rId196"/>
    <externalReference r:id="rId197"/>
    <externalReference r:id="rId198"/>
    <externalReference r:id="rId199"/>
    <externalReference r:id="rId200"/>
    <externalReference r:id="rId201"/>
    <externalReference r:id="rId202"/>
    <externalReference r:id="rId203"/>
    <externalReference r:id="rId204"/>
    <externalReference r:id="rId205"/>
    <externalReference r:id="rId206"/>
    <externalReference r:id="rId207"/>
    <externalReference r:id="rId208"/>
    <externalReference r:id="rId209"/>
    <externalReference r:id="rId210"/>
    <externalReference r:id="rId211"/>
    <externalReference r:id="rId212"/>
    <externalReference r:id="rId213"/>
    <externalReference r:id="rId214"/>
    <externalReference r:id="rId215"/>
    <externalReference r:id="rId216"/>
    <externalReference r:id="rId217"/>
    <externalReference r:id="rId218"/>
    <externalReference r:id="rId219"/>
    <externalReference r:id="rId220"/>
    <externalReference r:id="rId221"/>
    <externalReference r:id="rId222"/>
    <externalReference r:id="rId223"/>
    <externalReference r:id="rId224"/>
    <externalReference r:id="rId225"/>
    <externalReference r:id="rId226"/>
    <externalReference r:id="rId227"/>
    <externalReference r:id="rId228"/>
    <externalReference r:id="rId229"/>
    <externalReference r:id="rId230"/>
    <externalReference r:id="rId231"/>
    <externalReference r:id="rId232"/>
    <externalReference r:id="rId233"/>
    <externalReference r:id="rId234"/>
    <externalReference r:id="rId235"/>
    <externalReference r:id="rId236"/>
    <externalReference r:id="rId237"/>
    <externalReference r:id="rId238"/>
    <externalReference r:id="rId239"/>
    <externalReference r:id="rId240"/>
    <externalReference r:id="rId241"/>
    <externalReference r:id="rId242"/>
    <externalReference r:id="rId243"/>
    <externalReference r:id="rId244"/>
    <externalReference r:id="rId245"/>
    <externalReference r:id="rId246"/>
    <externalReference r:id="rId247"/>
    <externalReference r:id="rId248"/>
    <externalReference r:id="rId249"/>
    <externalReference r:id="rId250"/>
    <externalReference r:id="rId251"/>
    <externalReference r:id="rId252"/>
    <externalReference r:id="rId253"/>
    <externalReference r:id="rId254"/>
    <externalReference r:id="rId255"/>
    <externalReference r:id="rId256"/>
    <externalReference r:id="rId257"/>
    <externalReference r:id="rId258"/>
    <externalReference r:id="rId259"/>
    <externalReference r:id="rId260"/>
    <externalReference r:id="rId261"/>
    <externalReference r:id="rId262"/>
    <externalReference r:id="rId263"/>
    <externalReference r:id="rId264"/>
    <externalReference r:id="rId265"/>
    <externalReference r:id="rId266"/>
    <externalReference r:id="rId267"/>
    <externalReference r:id="rId268"/>
    <externalReference r:id="rId269"/>
    <externalReference r:id="rId270"/>
    <externalReference r:id="rId271"/>
    <externalReference r:id="rId272"/>
    <externalReference r:id="rId273"/>
    <externalReference r:id="rId274"/>
    <externalReference r:id="rId275"/>
    <externalReference r:id="rId276"/>
    <externalReference r:id="rId277"/>
    <externalReference r:id="rId278"/>
    <externalReference r:id="rId279"/>
    <externalReference r:id="rId280"/>
    <externalReference r:id="rId281"/>
    <externalReference r:id="rId282"/>
    <externalReference r:id="rId283"/>
    <externalReference r:id="rId284"/>
    <externalReference r:id="rId285"/>
    <externalReference r:id="rId286"/>
    <externalReference r:id="rId287"/>
    <externalReference r:id="rId288"/>
    <externalReference r:id="rId289"/>
    <externalReference r:id="rId290"/>
    <externalReference r:id="rId291"/>
    <externalReference r:id="rId292"/>
    <externalReference r:id="rId293"/>
    <externalReference r:id="rId294"/>
    <externalReference r:id="rId295"/>
    <externalReference r:id="rId296"/>
    <externalReference r:id="rId297"/>
    <externalReference r:id="rId298"/>
    <externalReference r:id="rId299"/>
    <externalReference r:id="rId300"/>
    <externalReference r:id="rId301"/>
    <externalReference r:id="rId302"/>
    <externalReference r:id="rId303"/>
    <externalReference r:id="rId304"/>
    <externalReference r:id="rId305"/>
    <externalReference r:id="rId306"/>
    <externalReference r:id="rId307"/>
    <externalReference r:id="rId308"/>
    <externalReference r:id="rId309"/>
    <externalReference r:id="rId310"/>
    <externalReference r:id="rId311"/>
    <externalReference r:id="rId312"/>
    <externalReference r:id="rId313"/>
    <externalReference r:id="rId314"/>
    <externalReference r:id="rId315"/>
    <externalReference r:id="rId316"/>
    <externalReference r:id="rId317"/>
    <externalReference r:id="rId318"/>
    <externalReference r:id="rId319"/>
    <externalReference r:id="rId320"/>
    <externalReference r:id="rId321"/>
    <externalReference r:id="rId322"/>
    <externalReference r:id="rId323"/>
    <externalReference r:id="rId324"/>
    <externalReference r:id="rId325"/>
    <externalReference r:id="rId326"/>
    <externalReference r:id="rId327"/>
    <externalReference r:id="rId328"/>
    <externalReference r:id="rId329"/>
    <externalReference r:id="rId330"/>
    <externalReference r:id="rId331"/>
    <externalReference r:id="rId332"/>
    <externalReference r:id="rId333"/>
    <externalReference r:id="rId334"/>
    <externalReference r:id="rId335"/>
    <externalReference r:id="rId336"/>
    <externalReference r:id="rId337"/>
    <externalReference r:id="rId338"/>
    <externalReference r:id="rId339"/>
    <externalReference r:id="rId340"/>
    <externalReference r:id="rId341"/>
    <externalReference r:id="rId342"/>
    <externalReference r:id="rId343"/>
    <externalReference r:id="rId344"/>
    <externalReference r:id="rId345"/>
    <externalReference r:id="rId346"/>
    <externalReference r:id="rId347"/>
    <externalReference r:id="rId348"/>
    <externalReference r:id="rId349"/>
    <externalReference r:id="rId350"/>
    <externalReference r:id="rId351"/>
    <externalReference r:id="rId352"/>
    <externalReference r:id="rId353"/>
    <externalReference r:id="rId354"/>
    <externalReference r:id="rId355"/>
    <externalReference r:id="rId356"/>
    <externalReference r:id="rId357"/>
    <externalReference r:id="rId358"/>
    <externalReference r:id="rId359"/>
    <externalReference r:id="rId360"/>
    <externalReference r:id="rId361"/>
    <externalReference r:id="rId362"/>
    <externalReference r:id="rId363"/>
    <externalReference r:id="rId364"/>
    <externalReference r:id="rId365"/>
    <externalReference r:id="rId366"/>
    <externalReference r:id="rId367"/>
    <externalReference r:id="rId368"/>
    <externalReference r:id="rId369"/>
    <externalReference r:id="rId370"/>
    <externalReference r:id="rId371"/>
    <externalReference r:id="rId372"/>
    <externalReference r:id="rId373"/>
    <externalReference r:id="rId374"/>
    <externalReference r:id="rId375"/>
    <externalReference r:id="rId376"/>
    <externalReference r:id="rId377"/>
    <externalReference r:id="rId378"/>
    <externalReference r:id="rId379"/>
    <externalReference r:id="rId380"/>
    <externalReference r:id="rId381"/>
    <externalReference r:id="rId382"/>
    <externalReference r:id="rId383"/>
    <externalReference r:id="rId384"/>
    <externalReference r:id="rId385"/>
    <externalReference r:id="rId386"/>
    <externalReference r:id="rId387"/>
    <externalReference r:id="rId388"/>
    <externalReference r:id="rId389"/>
    <externalReference r:id="rId390"/>
    <externalReference r:id="rId391"/>
    <externalReference r:id="rId392"/>
    <externalReference r:id="rId393"/>
    <externalReference r:id="rId394"/>
    <externalReference r:id="rId395"/>
    <externalReference r:id="rId396"/>
    <externalReference r:id="rId397"/>
    <externalReference r:id="rId398"/>
    <externalReference r:id="rId399"/>
    <externalReference r:id="rId400"/>
    <externalReference r:id="rId401"/>
    <externalReference r:id="rId402"/>
    <externalReference r:id="rId403"/>
    <externalReference r:id="rId404"/>
    <externalReference r:id="rId405"/>
    <externalReference r:id="rId406"/>
    <externalReference r:id="rId407"/>
    <externalReference r:id="rId408"/>
    <externalReference r:id="rId409"/>
    <externalReference r:id="rId410"/>
    <externalReference r:id="rId411"/>
    <externalReference r:id="rId412"/>
    <externalReference r:id="rId413"/>
    <externalReference r:id="rId414"/>
    <externalReference r:id="rId415"/>
    <externalReference r:id="rId416"/>
    <externalReference r:id="rId417"/>
    <externalReference r:id="rId418"/>
    <externalReference r:id="rId419"/>
    <externalReference r:id="rId420"/>
    <externalReference r:id="rId421"/>
    <externalReference r:id="rId422"/>
    <externalReference r:id="rId423"/>
    <externalReference r:id="rId424"/>
    <externalReference r:id="rId425"/>
    <externalReference r:id="rId426"/>
    <externalReference r:id="rId427"/>
    <externalReference r:id="rId428"/>
    <externalReference r:id="rId429"/>
    <externalReference r:id="rId430"/>
    <externalReference r:id="rId431"/>
    <externalReference r:id="rId432"/>
    <externalReference r:id="rId433"/>
    <externalReference r:id="rId434"/>
    <externalReference r:id="rId435"/>
    <externalReference r:id="rId436"/>
    <externalReference r:id="rId437"/>
    <externalReference r:id="rId438"/>
    <externalReference r:id="rId439"/>
    <externalReference r:id="rId440"/>
    <externalReference r:id="rId441"/>
    <externalReference r:id="rId442"/>
    <externalReference r:id="rId443"/>
    <externalReference r:id="rId444"/>
    <externalReference r:id="rId445"/>
    <externalReference r:id="rId446"/>
    <externalReference r:id="rId447"/>
    <externalReference r:id="rId448"/>
    <externalReference r:id="rId449"/>
    <externalReference r:id="rId450"/>
    <externalReference r:id="rId451"/>
    <externalReference r:id="rId452"/>
    <externalReference r:id="rId453"/>
    <externalReference r:id="rId454"/>
    <externalReference r:id="rId455"/>
    <externalReference r:id="rId456"/>
    <externalReference r:id="rId457"/>
    <externalReference r:id="rId458"/>
    <externalReference r:id="rId459"/>
    <externalReference r:id="rId460"/>
    <externalReference r:id="rId461"/>
    <externalReference r:id="rId462"/>
    <externalReference r:id="rId463"/>
    <externalReference r:id="rId464"/>
    <externalReference r:id="rId465"/>
    <externalReference r:id="rId466"/>
    <externalReference r:id="rId467"/>
    <externalReference r:id="rId468"/>
    <externalReference r:id="rId469"/>
    <externalReference r:id="rId470"/>
    <externalReference r:id="rId471"/>
    <externalReference r:id="rId472"/>
    <externalReference r:id="rId473"/>
    <externalReference r:id="rId474"/>
    <externalReference r:id="rId475"/>
    <externalReference r:id="rId476"/>
    <externalReference r:id="rId477"/>
    <externalReference r:id="rId478"/>
    <externalReference r:id="rId479"/>
    <externalReference r:id="rId480"/>
    <externalReference r:id="rId481"/>
    <externalReference r:id="rId482"/>
    <externalReference r:id="rId483"/>
    <externalReference r:id="rId484"/>
    <externalReference r:id="rId485"/>
    <externalReference r:id="rId486"/>
    <externalReference r:id="rId487"/>
    <externalReference r:id="rId488"/>
    <externalReference r:id="rId489"/>
    <externalReference r:id="rId490"/>
    <externalReference r:id="rId491"/>
    <externalReference r:id="rId492"/>
    <externalReference r:id="rId493"/>
    <externalReference r:id="rId494"/>
    <externalReference r:id="rId495"/>
    <externalReference r:id="rId496"/>
    <externalReference r:id="rId497"/>
    <externalReference r:id="rId498"/>
    <externalReference r:id="rId499"/>
    <externalReference r:id="rId500"/>
    <externalReference r:id="rId501"/>
    <externalReference r:id="rId502"/>
    <externalReference r:id="rId503"/>
    <externalReference r:id="rId504"/>
    <externalReference r:id="rId505"/>
    <externalReference r:id="rId506"/>
    <externalReference r:id="rId507"/>
    <externalReference r:id="rId508"/>
    <externalReference r:id="rId509"/>
    <externalReference r:id="rId510"/>
    <externalReference r:id="rId511"/>
    <externalReference r:id="rId512"/>
    <externalReference r:id="rId513"/>
    <externalReference r:id="rId514"/>
    <externalReference r:id="rId515"/>
    <externalReference r:id="rId516"/>
    <externalReference r:id="rId517"/>
    <externalReference r:id="rId518"/>
    <externalReference r:id="rId519"/>
    <externalReference r:id="rId520"/>
    <externalReference r:id="rId521"/>
    <externalReference r:id="rId522"/>
    <externalReference r:id="rId523"/>
    <externalReference r:id="rId524"/>
    <externalReference r:id="rId525"/>
    <externalReference r:id="rId526"/>
    <externalReference r:id="rId527"/>
    <externalReference r:id="rId528"/>
    <externalReference r:id="rId529"/>
    <externalReference r:id="rId530"/>
    <externalReference r:id="rId531"/>
    <externalReference r:id="rId532"/>
    <externalReference r:id="rId533"/>
    <externalReference r:id="rId534"/>
    <externalReference r:id="rId535"/>
    <externalReference r:id="rId536"/>
    <externalReference r:id="rId537"/>
    <externalReference r:id="rId538"/>
    <externalReference r:id="rId539"/>
    <externalReference r:id="rId540"/>
    <externalReference r:id="rId541"/>
    <externalReference r:id="rId542"/>
    <externalReference r:id="rId543"/>
    <externalReference r:id="rId544"/>
    <externalReference r:id="rId545"/>
    <externalReference r:id="rId546"/>
    <externalReference r:id="rId547"/>
    <externalReference r:id="rId548"/>
    <externalReference r:id="rId549"/>
    <externalReference r:id="rId550"/>
    <externalReference r:id="rId551"/>
    <externalReference r:id="rId552"/>
    <externalReference r:id="rId553"/>
    <externalReference r:id="rId554"/>
    <externalReference r:id="rId555"/>
    <externalReference r:id="rId556"/>
    <externalReference r:id="rId557"/>
    <externalReference r:id="rId558"/>
    <externalReference r:id="rId559"/>
    <externalReference r:id="rId560"/>
    <externalReference r:id="rId561"/>
    <externalReference r:id="rId562"/>
    <externalReference r:id="rId563"/>
    <externalReference r:id="rId564"/>
    <externalReference r:id="rId565"/>
    <externalReference r:id="rId566"/>
    <externalReference r:id="rId567"/>
    <externalReference r:id="rId568"/>
    <externalReference r:id="rId569"/>
    <externalReference r:id="rId570"/>
    <externalReference r:id="rId571"/>
    <externalReference r:id="rId572"/>
    <externalReference r:id="rId573"/>
    <externalReference r:id="rId574"/>
    <externalReference r:id="rId575"/>
    <externalReference r:id="rId576"/>
    <externalReference r:id="rId577"/>
    <externalReference r:id="rId578"/>
    <externalReference r:id="rId579"/>
    <externalReference r:id="rId580"/>
    <externalReference r:id="rId581"/>
    <externalReference r:id="rId582"/>
    <externalReference r:id="rId583"/>
    <externalReference r:id="rId584"/>
    <externalReference r:id="rId585"/>
    <externalReference r:id="rId586"/>
    <externalReference r:id="rId587"/>
    <externalReference r:id="rId588"/>
    <externalReference r:id="rId589"/>
    <externalReference r:id="rId590"/>
    <externalReference r:id="rId591"/>
    <externalReference r:id="rId592"/>
    <externalReference r:id="rId593"/>
    <externalReference r:id="rId594"/>
    <externalReference r:id="rId595"/>
    <externalReference r:id="rId596"/>
    <externalReference r:id="rId597"/>
    <externalReference r:id="rId598"/>
    <externalReference r:id="rId599"/>
    <externalReference r:id="rId600"/>
    <externalReference r:id="rId601"/>
    <externalReference r:id="rId602"/>
    <externalReference r:id="rId603"/>
    <externalReference r:id="rId604"/>
    <externalReference r:id="rId605"/>
    <externalReference r:id="rId606"/>
    <externalReference r:id="rId607"/>
    <externalReference r:id="rId608"/>
    <externalReference r:id="rId609"/>
    <externalReference r:id="rId610"/>
    <externalReference r:id="rId611"/>
    <externalReference r:id="rId612"/>
    <externalReference r:id="rId613"/>
    <externalReference r:id="rId614"/>
    <externalReference r:id="rId615"/>
    <externalReference r:id="rId616"/>
    <externalReference r:id="rId617"/>
    <externalReference r:id="rId618"/>
    <externalReference r:id="rId619"/>
    <externalReference r:id="rId620"/>
    <externalReference r:id="rId621"/>
    <externalReference r:id="rId622"/>
    <externalReference r:id="rId623"/>
    <externalReference r:id="rId624"/>
    <externalReference r:id="rId625"/>
    <externalReference r:id="rId626"/>
    <externalReference r:id="rId627"/>
    <externalReference r:id="rId628"/>
    <externalReference r:id="rId629"/>
    <externalReference r:id="rId630"/>
    <externalReference r:id="rId631"/>
    <externalReference r:id="rId632"/>
    <externalReference r:id="rId633"/>
    <externalReference r:id="rId634"/>
    <externalReference r:id="rId635"/>
    <externalReference r:id="rId636"/>
    <externalReference r:id="rId637"/>
    <externalReference r:id="rId638"/>
    <externalReference r:id="rId639"/>
    <externalReference r:id="rId640"/>
    <externalReference r:id="rId641"/>
    <externalReference r:id="rId642"/>
    <externalReference r:id="rId643"/>
    <externalReference r:id="rId644"/>
    <externalReference r:id="rId645"/>
    <externalReference r:id="rId646"/>
    <externalReference r:id="rId647"/>
    <externalReference r:id="rId648"/>
    <externalReference r:id="rId649"/>
    <externalReference r:id="rId650"/>
    <externalReference r:id="rId651"/>
    <externalReference r:id="rId652"/>
    <externalReference r:id="rId653"/>
    <externalReference r:id="rId654"/>
    <externalReference r:id="rId655"/>
    <externalReference r:id="rId656"/>
    <externalReference r:id="rId657"/>
    <externalReference r:id="rId658"/>
    <externalReference r:id="rId659"/>
    <externalReference r:id="rId660"/>
    <externalReference r:id="rId661"/>
    <externalReference r:id="rId662"/>
    <externalReference r:id="rId663"/>
    <externalReference r:id="rId664"/>
    <externalReference r:id="rId665"/>
    <externalReference r:id="rId666"/>
    <externalReference r:id="rId667"/>
    <externalReference r:id="rId668"/>
    <externalReference r:id="rId669"/>
    <externalReference r:id="rId670"/>
    <externalReference r:id="rId671"/>
    <externalReference r:id="rId672"/>
    <externalReference r:id="rId673"/>
    <externalReference r:id="rId674"/>
    <externalReference r:id="rId675"/>
    <externalReference r:id="rId676"/>
    <externalReference r:id="rId677"/>
    <externalReference r:id="rId678"/>
    <externalReference r:id="rId679"/>
    <externalReference r:id="rId680"/>
    <externalReference r:id="rId681"/>
    <externalReference r:id="rId682"/>
    <externalReference r:id="rId683"/>
    <externalReference r:id="rId684"/>
    <externalReference r:id="rId685"/>
    <externalReference r:id="rId686"/>
    <externalReference r:id="rId687"/>
    <externalReference r:id="rId688"/>
    <externalReference r:id="rId689"/>
    <externalReference r:id="rId690"/>
    <externalReference r:id="rId691"/>
    <externalReference r:id="rId692"/>
    <externalReference r:id="rId693"/>
    <externalReference r:id="rId694"/>
    <externalReference r:id="rId695"/>
    <externalReference r:id="rId696"/>
    <externalReference r:id="rId697"/>
    <externalReference r:id="rId698"/>
    <externalReference r:id="rId699"/>
    <externalReference r:id="rId700"/>
    <externalReference r:id="rId701"/>
    <externalReference r:id="rId702"/>
    <externalReference r:id="rId703"/>
    <externalReference r:id="rId704"/>
    <externalReference r:id="rId705"/>
    <externalReference r:id="rId706"/>
    <externalReference r:id="rId707"/>
    <externalReference r:id="rId708"/>
    <externalReference r:id="rId709"/>
    <externalReference r:id="rId710"/>
    <externalReference r:id="rId711"/>
    <externalReference r:id="rId712"/>
    <externalReference r:id="rId713"/>
    <externalReference r:id="rId714"/>
    <externalReference r:id="rId715"/>
    <externalReference r:id="rId716"/>
    <externalReference r:id="rId717"/>
    <externalReference r:id="rId718"/>
    <externalReference r:id="rId719"/>
    <externalReference r:id="rId720"/>
    <externalReference r:id="rId721"/>
    <externalReference r:id="rId722"/>
    <externalReference r:id="rId723"/>
    <externalReference r:id="rId724"/>
    <externalReference r:id="rId725"/>
    <externalReference r:id="rId726"/>
    <externalReference r:id="rId727"/>
    <externalReference r:id="rId728"/>
    <externalReference r:id="rId729"/>
    <externalReference r:id="rId730"/>
    <externalReference r:id="rId731"/>
    <externalReference r:id="rId732"/>
    <externalReference r:id="rId733"/>
    <externalReference r:id="rId734"/>
    <externalReference r:id="rId735"/>
    <externalReference r:id="rId736"/>
    <externalReference r:id="rId737"/>
    <externalReference r:id="rId738"/>
    <externalReference r:id="rId739"/>
    <externalReference r:id="rId740"/>
    <externalReference r:id="rId741"/>
    <externalReference r:id="rId742"/>
    <externalReference r:id="rId743"/>
    <externalReference r:id="rId744"/>
    <externalReference r:id="rId745"/>
    <externalReference r:id="rId746"/>
    <externalReference r:id="rId747"/>
    <externalReference r:id="rId748"/>
    <externalReference r:id="rId749"/>
    <externalReference r:id="rId750"/>
    <externalReference r:id="rId751"/>
    <externalReference r:id="rId752"/>
    <externalReference r:id="rId753"/>
    <externalReference r:id="rId754"/>
    <externalReference r:id="rId755"/>
    <externalReference r:id="rId756"/>
    <externalReference r:id="rId757"/>
    <externalReference r:id="rId758"/>
    <externalReference r:id="rId759"/>
    <externalReference r:id="rId760"/>
    <externalReference r:id="rId761"/>
    <externalReference r:id="rId762"/>
    <externalReference r:id="rId763"/>
    <externalReference r:id="rId764"/>
    <externalReference r:id="rId765"/>
    <externalReference r:id="rId766"/>
    <externalReference r:id="rId767"/>
    <externalReference r:id="rId768"/>
    <externalReference r:id="rId769"/>
    <externalReference r:id="rId770"/>
    <externalReference r:id="rId771"/>
    <externalReference r:id="rId772"/>
    <externalReference r:id="rId773"/>
    <externalReference r:id="rId774"/>
    <externalReference r:id="rId775"/>
    <externalReference r:id="rId776"/>
    <externalReference r:id="rId777"/>
    <externalReference r:id="rId778"/>
    <externalReference r:id="rId779"/>
    <externalReference r:id="rId780"/>
    <externalReference r:id="rId781"/>
    <externalReference r:id="rId782"/>
    <externalReference r:id="rId783"/>
    <externalReference r:id="rId784"/>
    <externalReference r:id="rId785"/>
    <externalReference r:id="rId786"/>
    <externalReference r:id="rId787"/>
    <externalReference r:id="rId788"/>
    <externalReference r:id="rId789"/>
    <externalReference r:id="rId790"/>
    <externalReference r:id="rId791"/>
    <externalReference r:id="rId792"/>
    <externalReference r:id="rId793"/>
    <externalReference r:id="rId794"/>
    <externalReference r:id="rId795"/>
    <externalReference r:id="rId796"/>
    <externalReference r:id="rId797"/>
    <externalReference r:id="rId798"/>
    <externalReference r:id="rId799"/>
    <externalReference r:id="rId800"/>
    <externalReference r:id="rId801"/>
    <externalReference r:id="rId802"/>
    <externalReference r:id="rId803"/>
    <externalReference r:id="rId804"/>
    <externalReference r:id="rId805"/>
    <externalReference r:id="rId806"/>
    <externalReference r:id="rId807"/>
    <externalReference r:id="rId808"/>
    <externalReference r:id="rId809"/>
    <externalReference r:id="rId810"/>
    <externalReference r:id="rId811"/>
    <externalReference r:id="rId812"/>
    <externalReference r:id="rId813"/>
    <externalReference r:id="rId814"/>
    <externalReference r:id="rId815"/>
    <externalReference r:id="rId816"/>
    <externalReference r:id="rId817"/>
    <externalReference r:id="rId818"/>
    <externalReference r:id="rId819"/>
    <externalReference r:id="rId820"/>
    <externalReference r:id="rId821"/>
    <externalReference r:id="rId822"/>
    <externalReference r:id="rId823"/>
    <externalReference r:id="rId824"/>
    <externalReference r:id="rId825"/>
    <externalReference r:id="rId826"/>
    <externalReference r:id="rId827"/>
    <externalReference r:id="rId828"/>
    <externalReference r:id="rId829"/>
    <externalReference r:id="rId830"/>
    <externalReference r:id="rId831"/>
    <externalReference r:id="rId832"/>
    <externalReference r:id="rId833"/>
    <externalReference r:id="rId834"/>
    <externalReference r:id="rId835"/>
    <externalReference r:id="rId836"/>
    <externalReference r:id="rId837"/>
    <externalReference r:id="rId838"/>
    <externalReference r:id="rId839"/>
    <externalReference r:id="rId840"/>
    <externalReference r:id="rId841"/>
    <externalReference r:id="rId842"/>
    <externalReference r:id="rId843"/>
    <externalReference r:id="rId844"/>
    <externalReference r:id="rId845"/>
    <externalReference r:id="rId846"/>
    <externalReference r:id="rId847"/>
    <externalReference r:id="rId848"/>
    <externalReference r:id="rId849"/>
    <externalReference r:id="rId850"/>
    <externalReference r:id="rId851"/>
    <externalReference r:id="rId852"/>
    <externalReference r:id="rId853"/>
    <externalReference r:id="rId854"/>
    <externalReference r:id="rId855"/>
    <externalReference r:id="rId856"/>
    <externalReference r:id="rId857"/>
    <externalReference r:id="rId858"/>
    <externalReference r:id="rId859"/>
    <externalReference r:id="rId860"/>
    <externalReference r:id="rId861"/>
    <externalReference r:id="rId862"/>
    <externalReference r:id="rId863"/>
    <externalReference r:id="rId864"/>
    <externalReference r:id="rId865"/>
    <externalReference r:id="rId866"/>
    <externalReference r:id="rId867"/>
    <externalReference r:id="rId868"/>
    <externalReference r:id="rId869"/>
    <externalReference r:id="rId870"/>
    <externalReference r:id="rId871"/>
    <externalReference r:id="rId872"/>
    <externalReference r:id="rId873"/>
    <externalReference r:id="rId874"/>
    <externalReference r:id="rId875"/>
    <externalReference r:id="rId876"/>
    <externalReference r:id="rId877"/>
    <externalReference r:id="rId878"/>
    <externalReference r:id="rId879"/>
    <externalReference r:id="rId880"/>
    <externalReference r:id="rId881"/>
    <externalReference r:id="rId882"/>
    <externalReference r:id="rId883"/>
    <externalReference r:id="rId884"/>
    <externalReference r:id="rId885"/>
    <externalReference r:id="rId886"/>
    <externalReference r:id="rId887"/>
    <externalReference r:id="rId888"/>
    <externalReference r:id="rId889"/>
    <externalReference r:id="rId890"/>
    <externalReference r:id="rId891"/>
    <externalReference r:id="rId892"/>
    <externalReference r:id="rId893"/>
    <externalReference r:id="rId894"/>
    <externalReference r:id="rId895"/>
    <externalReference r:id="rId896"/>
    <externalReference r:id="rId897"/>
    <externalReference r:id="rId898"/>
    <externalReference r:id="rId899"/>
    <externalReference r:id="rId900"/>
    <externalReference r:id="rId901"/>
    <externalReference r:id="rId902"/>
    <externalReference r:id="rId903"/>
    <externalReference r:id="rId904"/>
    <externalReference r:id="rId905"/>
    <externalReference r:id="rId906"/>
    <externalReference r:id="rId907"/>
    <externalReference r:id="rId908"/>
    <externalReference r:id="rId909"/>
    <externalReference r:id="rId910"/>
    <externalReference r:id="rId911"/>
    <externalReference r:id="rId912"/>
    <externalReference r:id="rId913"/>
    <externalReference r:id="rId914"/>
    <externalReference r:id="rId915"/>
    <externalReference r:id="rId916"/>
    <externalReference r:id="rId917"/>
    <externalReference r:id="rId918"/>
    <externalReference r:id="rId919"/>
    <externalReference r:id="rId920"/>
    <externalReference r:id="rId921"/>
    <externalReference r:id="rId922"/>
    <externalReference r:id="rId923"/>
    <externalReference r:id="rId924"/>
    <externalReference r:id="rId925"/>
    <externalReference r:id="rId926"/>
    <externalReference r:id="rId927"/>
    <externalReference r:id="rId928"/>
    <externalReference r:id="rId929"/>
    <externalReference r:id="rId930"/>
    <externalReference r:id="rId931"/>
    <externalReference r:id="rId932"/>
    <externalReference r:id="rId933"/>
    <externalReference r:id="rId934"/>
    <externalReference r:id="rId935"/>
    <externalReference r:id="rId936"/>
    <externalReference r:id="rId937"/>
    <externalReference r:id="rId938"/>
    <externalReference r:id="rId939"/>
    <externalReference r:id="rId940"/>
    <externalReference r:id="rId941"/>
    <externalReference r:id="rId942"/>
    <externalReference r:id="rId943"/>
    <externalReference r:id="rId944"/>
    <externalReference r:id="rId945"/>
    <externalReference r:id="rId946"/>
    <externalReference r:id="rId947"/>
    <externalReference r:id="rId948"/>
    <externalReference r:id="rId949"/>
    <externalReference r:id="rId950"/>
    <externalReference r:id="rId951"/>
    <externalReference r:id="rId952"/>
    <externalReference r:id="rId953"/>
    <externalReference r:id="rId954"/>
    <externalReference r:id="rId955"/>
    <externalReference r:id="rId956"/>
    <externalReference r:id="rId957"/>
    <externalReference r:id="rId958"/>
    <externalReference r:id="rId959"/>
    <externalReference r:id="rId960"/>
    <externalReference r:id="rId961"/>
    <externalReference r:id="rId962"/>
    <externalReference r:id="rId963"/>
    <externalReference r:id="rId964"/>
    <externalReference r:id="rId965"/>
    <externalReference r:id="rId966"/>
    <externalReference r:id="rId967"/>
    <externalReference r:id="rId968"/>
    <externalReference r:id="rId969"/>
    <externalReference r:id="rId970"/>
    <externalReference r:id="rId971"/>
    <externalReference r:id="rId972"/>
    <externalReference r:id="rId973"/>
    <externalReference r:id="rId974"/>
    <externalReference r:id="rId975"/>
    <externalReference r:id="rId976"/>
    <externalReference r:id="rId977"/>
    <externalReference r:id="rId978"/>
    <externalReference r:id="rId979"/>
    <externalReference r:id="rId980"/>
    <externalReference r:id="rId981"/>
    <externalReference r:id="rId982"/>
    <externalReference r:id="rId983"/>
    <externalReference r:id="rId984"/>
    <externalReference r:id="rId985"/>
    <externalReference r:id="rId986"/>
    <externalReference r:id="rId987"/>
    <externalReference r:id="rId988"/>
    <externalReference r:id="rId989"/>
    <externalReference r:id="rId990"/>
    <externalReference r:id="rId991"/>
    <externalReference r:id="rId992"/>
    <externalReference r:id="rId993"/>
    <externalReference r:id="rId994"/>
    <externalReference r:id="rId995"/>
    <externalReference r:id="rId996"/>
    <externalReference r:id="rId997"/>
    <externalReference r:id="rId998"/>
    <externalReference r:id="rId999"/>
    <externalReference r:id="rId1000"/>
    <externalReference r:id="rId1001"/>
    <externalReference r:id="rId1002"/>
    <externalReference r:id="rId1003"/>
    <externalReference r:id="rId1004"/>
    <externalReference r:id="rId1005"/>
    <externalReference r:id="rId1006"/>
    <externalReference r:id="rId1007"/>
    <externalReference r:id="rId1008"/>
    <externalReference r:id="rId1009"/>
    <externalReference r:id="rId1010"/>
    <externalReference r:id="rId1011"/>
    <externalReference r:id="rId1012"/>
    <externalReference r:id="rId1013"/>
    <externalReference r:id="rId1014"/>
    <externalReference r:id="rId1015"/>
    <externalReference r:id="rId1016"/>
    <externalReference r:id="rId1017"/>
    <externalReference r:id="rId1018"/>
    <externalReference r:id="rId1019"/>
    <externalReference r:id="rId1020"/>
    <externalReference r:id="rId1021"/>
    <externalReference r:id="rId1022"/>
    <externalReference r:id="rId1023"/>
    <externalReference r:id="rId1024"/>
    <externalReference r:id="rId1025"/>
    <externalReference r:id="rId1026"/>
    <externalReference r:id="rId1027"/>
    <externalReference r:id="rId1028"/>
    <externalReference r:id="rId1029"/>
    <externalReference r:id="rId1030"/>
    <externalReference r:id="rId1031"/>
    <externalReference r:id="rId1032"/>
    <externalReference r:id="rId1033"/>
    <externalReference r:id="rId1034"/>
    <externalReference r:id="rId1035"/>
    <externalReference r:id="rId1036"/>
    <externalReference r:id="rId1037"/>
    <externalReference r:id="rId1038"/>
    <externalReference r:id="rId1039"/>
    <externalReference r:id="rId1040"/>
    <externalReference r:id="rId1041"/>
    <externalReference r:id="rId1042"/>
    <externalReference r:id="rId1043"/>
    <externalReference r:id="rId1044"/>
    <externalReference r:id="rId1045"/>
    <externalReference r:id="rId1046"/>
    <externalReference r:id="rId1047"/>
    <externalReference r:id="rId1048"/>
    <externalReference r:id="rId1049"/>
    <externalReference r:id="rId1050"/>
    <externalReference r:id="rId1051"/>
    <externalReference r:id="rId1052"/>
    <externalReference r:id="rId1053"/>
    <externalReference r:id="rId1054"/>
    <externalReference r:id="rId1055"/>
    <externalReference r:id="rId1056"/>
    <externalReference r:id="rId1057"/>
    <externalReference r:id="rId1058"/>
    <externalReference r:id="rId1059"/>
    <externalReference r:id="rId1060"/>
    <externalReference r:id="rId1061"/>
    <externalReference r:id="rId1062"/>
    <externalReference r:id="rId1063"/>
    <externalReference r:id="rId1064"/>
    <externalReference r:id="rId1065"/>
    <externalReference r:id="rId1066"/>
    <externalReference r:id="rId1067"/>
    <externalReference r:id="rId1068"/>
    <externalReference r:id="rId1069"/>
    <externalReference r:id="rId1070"/>
    <externalReference r:id="rId1071"/>
    <externalReference r:id="rId1072"/>
    <externalReference r:id="rId1073"/>
    <externalReference r:id="rId1074"/>
    <externalReference r:id="rId1075"/>
    <externalReference r:id="rId1076"/>
    <externalReference r:id="rId1077"/>
    <externalReference r:id="rId1078"/>
    <externalReference r:id="rId1079"/>
    <externalReference r:id="rId1080"/>
    <externalReference r:id="rId1081"/>
    <externalReference r:id="rId1082"/>
    <externalReference r:id="rId1083"/>
    <externalReference r:id="rId1084"/>
    <externalReference r:id="rId1085"/>
    <externalReference r:id="rId1086"/>
    <externalReference r:id="rId1087"/>
    <externalReference r:id="rId1088"/>
    <externalReference r:id="rId1089"/>
    <externalReference r:id="rId1090"/>
    <externalReference r:id="rId1091"/>
    <externalReference r:id="rId1092"/>
    <externalReference r:id="rId1093"/>
    <externalReference r:id="rId1094"/>
    <externalReference r:id="rId1095"/>
    <externalReference r:id="rId1096"/>
    <externalReference r:id="rId1097"/>
    <externalReference r:id="rId1098"/>
    <externalReference r:id="rId1099"/>
    <externalReference r:id="rId1100"/>
    <externalReference r:id="rId1101"/>
    <externalReference r:id="rId1102"/>
    <externalReference r:id="rId1103"/>
    <externalReference r:id="rId1104"/>
    <externalReference r:id="rId1105"/>
    <externalReference r:id="rId1106"/>
    <externalReference r:id="rId1107"/>
    <externalReference r:id="rId1108"/>
    <externalReference r:id="rId1109"/>
    <externalReference r:id="rId1110"/>
    <externalReference r:id="rId1111"/>
    <externalReference r:id="rId1112"/>
    <externalReference r:id="rId1113"/>
    <externalReference r:id="rId1114"/>
    <externalReference r:id="rId1115"/>
    <externalReference r:id="rId1116"/>
    <externalReference r:id="rId1117"/>
    <externalReference r:id="rId1118"/>
    <externalReference r:id="rId1119"/>
    <externalReference r:id="rId1120"/>
    <externalReference r:id="rId1121"/>
    <externalReference r:id="rId1122"/>
    <externalReference r:id="rId1123"/>
    <externalReference r:id="rId1124"/>
    <externalReference r:id="rId1125"/>
    <externalReference r:id="rId1126"/>
    <externalReference r:id="rId1127"/>
    <externalReference r:id="rId112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58" i="54" l="1"/>
  <c r="W57" i="54"/>
  <c r="W56" i="54"/>
  <c r="W55" i="54"/>
  <c r="W54" i="54"/>
  <c r="W53" i="54"/>
  <c r="W52" i="54"/>
  <c r="W51" i="54"/>
  <c r="W50" i="54"/>
  <c r="W49" i="54"/>
  <c r="W48" i="54"/>
  <c r="W47" i="54"/>
  <c r="W46" i="54"/>
  <c r="W45" i="54"/>
  <c r="W44" i="54"/>
  <c r="W43" i="54"/>
  <c r="W42" i="54"/>
  <c r="W41" i="54"/>
  <c r="W40" i="54"/>
  <c r="W39" i="54"/>
  <c r="W38" i="54"/>
  <c r="W37" i="54"/>
  <c r="W36" i="54"/>
  <c r="W35" i="54"/>
  <c r="W34" i="54"/>
  <c r="W33" i="54"/>
  <c r="W32" i="54"/>
  <c r="W31" i="54"/>
  <c r="W30" i="54"/>
  <c r="W29" i="54"/>
  <c r="W28" i="54"/>
  <c r="W27" i="54"/>
  <c r="W26" i="54"/>
  <c r="W25" i="54"/>
  <c r="W24" i="54"/>
  <c r="W23" i="54"/>
  <c r="W22" i="54"/>
  <c r="W21" i="54"/>
  <c r="W20" i="54"/>
  <c r="W19" i="54"/>
  <c r="W18" i="54"/>
  <c r="W17" i="54"/>
  <c r="W16" i="54"/>
  <c r="W15" i="54"/>
  <c r="W14" i="54"/>
  <c r="W13" i="54"/>
  <c r="W12" i="54"/>
  <c r="W11" i="54"/>
  <c r="W10" i="54"/>
  <c r="W9" i="54"/>
  <c r="X58" i="53"/>
  <c r="X57" i="53"/>
  <c r="X56" i="53"/>
  <c r="X55" i="53"/>
  <c r="X54" i="53"/>
  <c r="X53" i="53"/>
  <c r="X52" i="53"/>
  <c r="X51" i="53"/>
  <c r="X50" i="53"/>
  <c r="X49" i="53"/>
  <c r="X48" i="53"/>
  <c r="X47" i="53"/>
  <c r="X46" i="53"/>
  <c r="X45" i="53"/>
  <c r="X44" i="53"/>
  <c r="X43" i="53"/>
  <c r="X42" i="53"/>
  <c r="X41" i="53"/>
  <c r="X40" i="53"/>
  <c r="X39" i="53"/>
  <c r="X38" i="53"/>
  <c r="X37" i="53"/>
  <c r="X36" i="53"/>
  <c r="X35" i="53"/>
  <c r="X34" i="53"/>
  <c r="X33" i="53"/>
  <c r="X32" i="53"/>
  <c r="X31" i="53"/>
  <c r="X30" i="53"/>
  <c r="X29" i="53"/>
  <c r="X28" i="53"/>
  <c r="X27" i="53"/>
  <c r="X26" i="53"/>
  <c r="X25" i="53"/>
  <c r="X24" i="53"/>
  <c r="X23" i="53"/>
  <c r="X22" i="53"/>
  <c r="X21" i="53"/>
  <c r="X20" i="53"/>
  <c r="X19" i="53"/>
  <c r="X18" i="53"/>
  <c r="X17" i="53"/>
  <c r="X16" i="53"/>
  <c r="X15" i="53"/>
  <c r="X14" i="53"/>
  <c r="X13" i="53"/>
  <c r="X12" i="53"/>
  <c r="X11" i="53"/>
  <c r="X10" i="53"/>
  <c r="X9" i="53"/>
  <c r="X58" i="52"/>
  <c r="X57" i="52"/>
  <c r="X56" i="52"/>
  <c r="X55" i="52"/>
  <c r="X54" i="52"/>
  <c r="X53" i="52"/>
  <c r="X52" i="52"/>
  <c r="X51" i="52"/>
  <c r="X50" i="52"/>
  <c r="X49" i="52"/>
  <c r="X48" i="52"/>
  <c r="X47" i="52"/>
  <c r="X46" i="52"/>
  <c r="X45" i="52"/>
  <c r="X44" i="52"/>
  <c r="X43" i="52"/>
  <c r="X42" i="52"/>
  <c r="X41" i="52"/>
  <c r="X40" i="52"/>
  <c r="X39" i="52"/>
  <c r="X38" i="52"/>
  <c r="X37" i="52"/>
  <c r="X36" i="52"/>
  <c r="X35" i="52"/>
  <c r="X34" i="52"/>
  <c r="X33" i="52"/>
  <c r="X32" i="52"/>
  <c r="X31" i="52"/>
  <c r="X30" i="52"/>
  <c r="X29" i="52"/>
  <c r="X28" i="52"/>
  <c r="X27" i="52"/>
  <c r="X26" i="52"/>
  <c r="X25" i="52"/>
  <c r="X24" i="52"/>
  <c r="X23" i="52"/>
  <c r="X22" i="52"/>
  <c r="X21" i="52"/>
  <c r="X20" i="52"/>
  <c r="X19" i="52"/>
  <c r="X18" i="52"/>
  <c r="X17" i="52"/>
  <c r="X16" i="52"/>
  <c r="X15" i="52"/>
  <c r="X14" i="52"/>
  <c r="X13" i="52"/>
  <c r="X12" i="52"/>
  <c r="X11" i="52"/>
  <c r="X10" i="52"/>
  <c r="X9" i="52"/>
  <c r="X58" i="51"/>
  <c r="X57" i="51"/>
  <c r="X56" i="51"/>
  <c r="X55" i="51"/>
  <c r="X54" i="51"/>
  <c r="X53" i="51"/>
  <c r="X52" i="51"/>
  <c r="X51" i="51"/>
  <c r="X50" i="51"/>
  <c r="X49" i="51"/>
  <c r="X48" i="51"/>
  <c r="X47" i="51"/>
  <c r="X46" i="51"/>
  <c r="X45" i="51"/>
  <c r="X44" i="51"/>
  <c r="X43" i="51"/>
  <c r="X42" i="51"/>
  <c r="X41" i="51"/>
  <c r="X40" i="51"/>
  <c r="X39" i="51"/>
  <c r="X38" i="51"/>
  <c r="X37" i="51"/>
  <c r="X36" i="51"/>
  <c r="X35" i="51"/>
  <c r="X34" i="51"/>
  <c r="X33" i="51"/>
  <c r="X32" i="51"/>
  <c r="X31" i="51"/>
  <c r="X30" i="51"/>
  <c r="X29" i="51"/>
  <c r="X28" i="51"/>
  <c r="X27" i="51"/>
  <c r="X26" i="51"/>
  <c r="X25" i="51"/>
  <c r="X24" i="51"/>
  <c r="X23" i="51"/>
  <c r="X22" i="51"/>
  <c r="X21" i="51"/>
  <c r="X20" i="51"/>
  <c r="X19" i="51"/>
  <c r="X18" i="51"/>
  <c r="X17" i="51"/>
  <c r="X16" i="51"/>
  <c r="X15" i="51"/>
  <c r="X14" i="51"/>
  <c r="X13" i="51"/>
  <c r="X12" i="51"/>
  <c r="X11" i="51"/>
  <c r="X10" i="51"/>
  <c r="X9" i="51"/>
  <c r="X58" i="11"/>
  <c r="X57" i="11"/>
  <c r="X56" i="11"/>
  <c r="X55" i="11"/>
  <c r="X54" i="11"/>
  <c r="X53" i="11"/>
  <c r="X52" i="11"/>
  <c r="X51" i="11"/>
  <c r="X50" i="11"/>
  <c r="X49" i="11"/>
  <c r="X48" i="11"/>
  <c r="X47" i="11"/>
  <c r="X46" i="11"/>
  <c r="X45" i="11"/>
  <c r="X44" i="11"/>
  <c r="X43" i="11"/>
  <c r="X42" i="11"/>
  <c r="X41" i="11"/>
  <c r="X40" i="11"/>
  <c r="X39" i="11"/>
  <c r="X38" i="11"/>
  <c r="X37" i="11"/>
  <c r="X36" i="11"/>
  <c r="X35" i="11"/>
  <c r="X34" i="11"/>
  <c r="X33" i="11"/>
  <c r="X32" i="11"/>
  <c r="X31" i="11"/>
  <c r="X30" i="11"/>
  <c r="X29" i="11"/>
  <c r="X28" i="11"/>
  <c r="X27" i="11"/>
  <c r="X26" i="11"/>
  <c r="X25" i="11"/>
  <c r="X24" i="11"/>
  <c r="X23" i="11"/>
  <c r="X22" i="11"/>
  <c r="X21" i="11"/>
  <c r="X20" i="11"/>
  <c r="X19" i="11"/>
  <c r="X18" i="11"/>
  <c r="X17" i="11"/>
  <c r="X16" i="11"/>
  <c r="X15" i="11"/>
  <c r="X14" i="11"/>
  <c r="X13" i="11"/>
  <c r="X12" i="11"/>
  <c r="X11" i="11"/>
  <c r="X10" i="11"/>
  <c r="X9" i="11"/>
  <c r="G58" i="55"/>
  <c r="F58" i="55"/>
  <c r="E58" i="55"/>
  <c r="D58" i="55"/>
  <c r="C58" i="55"/>
  <c r="G57" i="55"/>
  <c r="F57" i="55"/>
  <c r="E57" i="55"/>
  <c r="D57" i="55"/>
  <c r="C57" i="55"/>
  <c r="G56" i="55"/>
  <c r="F56" i="55"/>
  <c r="E56" i="55"/>
  <c r="D56" i="55"/>
  <c r="C56" i="55"/>
  <c r="G55" i="55"/>
  <c r="F55" i="55"/>
  <c r="E55" i="55"/>
  <c r="D55" i="55"/>
  <c r="C55" i="55"/>
  <c r="G54" i="55"/>
  <c r="F54" i="55"/>
  <c r="E54" i="55"/>
  <c r="D54" i="55"/>
  <c r="C54" i="55"/>
  <c r="G53" i="55"/>
  <c r="F53" i="55"/>
  <c r="E53" i="55"/>
  <c r="D53" i="55"/>
  <c r="C53" i="55"/>
  <c r="G52" i="55"/>
  <c r="F52" i="55"/>
  <c r="E52" i="55"/>
  <c r="D52" i="55"/>
  <c r="C52" i="55"/>
  <c r="G51" i="55"/>
  <c r="F51" i="55"/>
  <c r="E51" i="55"/>
  <c r="D51" i="55"/>
  <c r="C51" i="55"/>
  <c r="G50" i="55"/>
  <c r="F50" i="55"/>
  <c r="E50" i="55"/>
  <c r="D50" i="55"/>
  <c r="C50" i="55"/>
  <c r="G49" i="55"/>
  <c r="F49" i="55"/>
  <c r="E49" i="55"/>
  <c r="D49" i="55"/>
  <c r="C49" i="55"/>
  <c r="G48" i="55"/>
  <c r="F48" i="55"/>
  <c r="E48" i="55"/>
  <c r="D48" i="55"/>
  <c r="C48" i="55"/>
  <c r="G47" i="55"/>
  <c r="F47" i="55"/>
  <c r="E47" i="55"/>
  <c r="D47" i="55"/>
  <c r="C47" i="55"/>
  <c r="G46" i="55"/>
  <c r="F46" i="55"/>
  <c r="E46" i="55"/>
  <c r="D46" i="55"/>
  <c r="C46" i="55"/>
  <c r="G45" i="55"/>
  <c r="F45" i="55"/>
  <c r="E45" i="55"/>
  <c r="D45" i="55"/>
  <c r="C45" i="55"/>
  <c r="G44" i="55"/>
  <c r="F44" i="55"/>
  <c r="E44" i="55"/>
  <c r="D44" i="55"/>
  <c r="C44" i="55"/>
  <c r="G43" i="55"/>
  <c r="F43" i="55"/>
  <c r="E43" i="55"/>
  <c r="D43" i="55"/>
  <c r="C43" i="55"/>
  <c r="G42" i="55"/>
  <c r="F42" i="55"/>
  <c r="E42" i="55"/>
  <c r="D42" i="55"/>
  <c r="C42" i="55"/>
  <c r="G41" i="55"/>
  <c r="F41" i="55"/>
  <c r="E41" i="55"/>
  <c r="D41" i="55"/>
  <c r="C41" i="55"/>
  <c r="G40" i="55"/>
  <c r="F40" i="55"/>
  <c r="E40" i="55"/>
  <c r="D40" i="55"/>
  <c r="C40" i="55"/>
  <c r="G39" i="55"/>
  <c r="F39" i="55"/>
  <c r="E39" i="55"/>
  <c r="D39" i="55"/>
  <c r="C39" i="55"/>
  <c r="G38" i="55"/>
  <c r="F38" i="55"/>
  <c r="E38" i="55"/>
  <c r="D38" i="55"/>
  <c r="C38" i="55"/>
  <c r="G37" i="55"/>
  <c r="F37" i="55"/>
  <c r="E37" i="55"/>
  <c r="D37" i="55"/>
  <c r="C37" i="55"/>
  <c r="G36" i="55"/>
  <c r="F36" i="55"/>
  <c r="E36" i="55"/>
  <c r="D36" i="55"/>
  <c r="C36" i="55"/>
  <c r="G35" i="55"/>
  <c r="F35" i="55"/>
  <c r="E35" i="55"/>
  <c r="D35" i="55"/>
  <c r="C35" i="55"/>
  <c r="G34" i="55"/>
  <c r="F34" i="55"/>
  <c r="E34" i="55"/>
  <c r="D34" i="55"/>
  <c r="C34" i="55"/>
  <c r="G33" i="55"/>
  <c r="F33" i="55"/>
  <c r="E33" i="55"/>
  <c r="D33" i="55"/>
  <c r="C33" i="55"/>
  <c r="G32" i="55"/>
  <c r="F32" i="55"/>
  <c r="E32" i="55"/>
  <c r="D32" i="55"/>
  <c r="C32" i="55"/>
  <c r="G31" i="55"/>
  <c r="F31" i="55"/>
  <c r="E31" i="55"/>
  <c r="D31" i="55"/>
  <c r="C31" i="55"/>
  <c r="G30" i="55"/>
  <c r="F30" i="55"/>
  <c r="E30" i="55"/>
  <c r="D30" i="55"/>
  <c r="C30" i="55"/>
  <c r="G29" i="55"/>
  <c r="F29" i="55"/>
  <c r="E29" i="55"/>
  <c r="D29" i="55"/>
  <c r="C29" i="55"/>
  <c r="G28" i="55"/>
  <c r="F28" i="55"/>
  <c r="E28" i="55"/>
  <c r="D28" i="55"/>
  <c r="C28" i="55"/>
  <c r="G27" i="55"/>
  <c r="F27" i="55"/>
  <c r="E27" i="55"/>
  <c r="D27" i="55"/>
  <c r="C27" i="55"/>
  <c r="G26" i="55"/>
  <c r="F26" i="55"/>
  <c r="E26" i="55"/>
  <c r="D26" i="55"/>
  <c r="C26" i="55"/>
  <c r="G25" i="55"/>
  <c r="F25" i="55"/>
  <c r="E25" i="55"/>
  <c r="D25" i="55"/>
  <c r="C25" i="55"/>
  <c r="G24" i="55"/>
  <c r="F24" i="55"/>
  <c r="E24" i="55"/>
  <c r="D24" i="55"/>
  <c r="C24" i="55"/>
  <c r="G23" i="55"/>
  <c r="F23" i="55"/>
  <c r="E23" i="55"/>
  <c r="D23" i="55"/>
  <c r="C23" i="55"/>
  <c r="G22" i="55"/>
  <c r="F22" i="55"/>
  <c r="E22" i="55"/>
  <c r="D22" i="55"/>
  <c r="C22" i="55"/>
  <c r="G21" i="55"/>
  <c r="F21" i="55"/>
  <c r="E21" i="55"/>
  <c r="D21" i="55"/>
  <c r="C21" i="55"/>
  <c r="G20" i="55"/>
  <c r="F20" i="55"/>
  <c r="E20" i="55"/>
  <c r="D20" i="55"/>
  <c r="C20" i="55"/>
  <c r="G19" i="55"/>
  <c r="F19" i="55"/>
  <c r="E19" i="55"/>
  <c r="D19" i="55"/>
  <c r="C19" i="55"/>
  <c r="G18" i="55"/>
  <c r="F18" i="55"/>
  <c r="E18" i="55"/>
  <c r="D18" i="55"/>
  <c r="C18" i="55"/>
  <c r="G17" i="55"/>
  <c r="F17" i="55"/>
  <c r="E17" i="55"/>
  <c r="D17" i="55"/>
  <c r="C17" i="55"/>
  <c r="G16" i="55"/>
  <c r="F16" i="55"/>
  <c r="E16" i="55"/>
  <c r="D16" i="55"/>
  <c r="C16" i="55"/>
  <c r="G15" i="55"/>
  <c r="F15" i="55"/>
  <c r="E15" i="55"/>
  <c r="D15" i="55"/>
  <c r="C15" i="55"/>
  <c r="G14" i="55"/>
  <c r="F14" i="55"/>
  <c r="E14" i="55"/>
  <c r="D14" i="55"/>
  <c r="C14" i="55"/>
  <c r="G13" i="55"/>
  <c r="F13" i="55"/>
  <c r="E13" i="55"/>
  <c r="D13" i="55"/>
  <c r="C13" i="55"/>
  <c r="G12" i="55"/>
  <c r="F12" i="55"/>
  <c r="E12" i="55"/>
  <c r="D12" i="55"/>
  <c r="C12" i="55"/>
  <c r="G11" i="55"/>
  <c r="F11" i="55"/>
  <c r="E11" i="55"/>
  <c r="D11" i="55"/>
  <c r="C11" i="55"/>
  <c r="G10" i="55"/>
  <c r="F10" i="55"/>
  <c r="E10" i="55"/>
  <c r="D10" i="55"/>
  <c r="C10" i="55"/>
  <c r="G9" i="55"/>
  <c r="F9" i="55"/>
  <c r="E9" i="55"/>
  <c r="D9" i="55"/>
  <c r="C9" i="55"/>
  <c r="C13" i="11"/>
  <c r="C21" i="11"/>
  <c r="C22" i="11"/>
  <c r="C30" i="11"/>
  <c r="C33" i="11"/>
  <c r="C37" i="11"/>
  <c r="C38" i="11"/>
  <c r="C45" i="11"/>
  <c r="C49" i="11"/>
  <c r="C53" i="11"/>
  <c r="C54" i="11"/>
  <c r="C56" i="11"/>
  <c r="G58" i="50"/>
  <c r="C58" i="54" s="1"/>
  <c r="F58" i="50"/>
  <c r="C58" i="53" s="1"/>
  <c r="E58" i="50"/>
  <c r="C58" i="52" s="1"/>
  <c r="D58" i="50"/>
  <c r="C58" i="51" s="1"/>
  <c r="C58" i="50"/>
  <c r="C58" i="11" s="1"/>
  <c r="G57" i="50"/>
  <c r="C57" i="54" s="1"/>
  <c r="F57" i="50"/>
  <c r="C57" i="53" s="1"/>
  <c r="E57" i="50"/>
  <c r="C57" i="52" s="1"/>
  <c r="D57" i="50"/>
  <c r="C57" i="51" s="1"/>
  <c r="C57" i="50"/>
  <c r="C57" i="11" s="1"/>
  <c r="G56" i="50"/>
  <c r="C56" i="54" s="1"/>
  <c r="F56" i="50"/>
  <c r="C56" i="53" s="1"/>
  <c r="E56" i="50"/>
  <c r="C56" i="52" s="1"/>
  <c r="D56" i="50"/>
  <c r="C56" i="51" s="1"/>
  <c r="C56" i="50"/>
  <c r="G55" i="50"/>
  <c r="C55" i="54" s="1"/>
  <c r="F55" i="50"/>
  <c r="C55" i="53" s="1"/>
  <c r="E55" i="50"/>
  <c r="C55" i="52" s="1"/>
  <c r="D55" i="50"/>
  <c r="C55" i="51" s="1"/>
  <c r="C55" i="50"/>
  <c r="C55" i="11" s="1"/>
  <c r="G54" i="50"/>
  <c r="C54" i="54" s="1"/>
  <c r="F54" i="50"/>
  <c r="C54" i="53" s="1"/>
  <c r="E54" i="50"/>
  <c r="C54" i="52" s="1"/>
  <c r="D54" i="50"/>
  <c r="C54" i="51" s="1"/>
  <c r="C54" i="50"/>
  <c r="G53" i="50"/>
  <c r="C53" i="54" s="1"/>
  <c r="F53" i="50"/>
  <c r="C53" i="53" s="1"/>
  <c r="E53" i="50"/>
  <c r="C53" i="52" s="1"/>
  <c r="D53" i="50"/>
  <c r="C53" i="51" s="1"/>
  <c r="C53" i="50"/>
  <c r="G52" i="50"/>
  <c r="C52" i="54" s="1"/>
  <c r="F52" i="50"/>
  <c r="C52" i="53" s="1"/>
  <c r="E52" i="50"/>
  <c r="C52" i="52" s="1"/>
  <c r="D52" i="50"/>
  <c r="C52" i="51" s="1"/>
  <c r="C52" i="50"/>
  <c r="C52" i="11" s="1"/>
  <c r="G51" i="50"/>
  <c r="C51" i="54" s="1"/>
  <c r="F51" i="50"/>
  <c r="C51" i="53" s="1"/>
  <c r="E51" i="50"/>
  <c r="C51" i="52" s="1"/>
  <c r="D51" i="50"/>
  <c r="C51" i="51" s="1"/>
  <c r="C51" i="50"/>
  <c r="C51" i="11" s="1"/>
  <c r="G50" i="50"/>
  <c r="C50" i="54" s="1"/>
  <c r="F50" i="50"/>
  <c r="C50" i="53" s="1"/>
  <c r="E50" i="50"/>
  <c r="C50" i="52" s="1"/>
  <c r="D50" i="50"/>
  <c r="C50" i="51" s="1"/>
  <c r="C50" i="50"/>
  <c r="C50" i="11" s="1"/>
  <c r="G49" i="50"/>
  <c r="C49" i="54" s="1"/>
  <c r="F49" i="50"/>
  <c r="C49" i="53" s="1"/>
  <c r="E49" i="50"/>
  <c r="C49" i="52" s="1"/>
  <c r="D49" i="50"/>
  <c r="C49" i="51" s="1"/>
  <c r="C49" i="50"/>
  <c r="G48" i="50"/>
  <c r="C48" i="54" s="1"/>
  <c r="F48" i="50"/>
  <c r="C48" i="53" s="1"/>
  <c r="E48" i="50"/>
  <c r="C48" i="52" s="1"/>
  <c r="D48" i="50"/>
  <c r="C48" i="51" s="1"/>
  <c r="C48" i="50"/>
  <c r="C48" i="11" s="1"/>
  <c r="G47" i="50"/>
  <c r="C47" i="54" s="1"/>
  <c r="F47" i="50"/>
  <c r="C47" i="53" s="1"/>
  <c r="E47" i="50"/>
  <c r="C47" i="52" s="1"/>
  <c r="D47" i="50"/>
  <c r="C47" i="51" s="1"/>
  <c r="C47" i="50"/>
  <c r="C47" i="11" s="1"/>
  <c r="G46" i="50"/>
  <c r="C46" i="54" s="1"/>
  <c r="F46" i="50"/>
  <c r="C46" i="53" s="1"/>
  <c r="E46" i="50"/>
  <c r="C46" i="52" s="1"/>
  <c r="D46" i="50"/>
  <c r="C46" i="51" s="1"/>
  <c r="C46" i="50"/>
  <c r="C46" i="11" s="1"/>
  <c r="G45" i="50"/>
  <c r="C45" i="54" s="1"/>
  <c r="F45" i="50"/>
  <c r="C45" i="53" s="1"/>
  <c r="E45" i="50"/>
  <c r="C45" i="52" s="1"/>
  <c r="D45" i="50"/>
  <c r="C45" i="51" s="1"/>
  <c r="C45" i="50"/>
  <c r="G44" i="50"/>
  <c r="C44" i="54" s="1"/>
  <c r="F44" i="50"/>
  <c r="C44" i="53" s="1"/>
  <c r="E44" i="50"/>
  <c r="C44" i="52" s="1"/>
  <c r="D44" i="50"/>
  <c r="C44" i="51" s="1"/>
  <c r="C44" i="50"/>
  <c r="C44" i="11" s="1"/>
  <c r="G43" i="50"/>
  <c r="C43" i="54" s="1"/>
  <c r="F43" i="50"/>
  <c r="C43" i="53" s="1"/>
  <c r="E43" i="50"/>
  <c r="C43" i="52" s="1"/>
  <c r="D43" i="50"/>
  <c r="C43" i="51" s="1"/>
  <c r="C43" i="50"/>
  <c r="C43" i="11" s="1"/>
  <c r="G42" i="50"/>
  <c r="C42" i="54" s="1"/>
  <c r="F42" i="50"/>
  <c r="C42" i="53" s="1"/>
  <c r="E42" i="50"/>
  <c r="C42" i="52" s="1"/>
  <c r="D42" i="50"/>
  <c r="C42" i="51" s="1"/>
  <c r="C42" i="50"/>
  <c r="C42" i="11" s="1"/>
  <c r="G41" i="50"/>
  <c r="C41" i="54" s="1"/>
  <c r="F41" i="50"/>
  <c r="C41" i="53" s="1"/>
  <c r="E41" i="50"/>
  <c r="C41" i="52" s="1"/>
  <c r="D41" i="50"/>
  <c r="C41" i="51" s="1"/>
  <c r="C41" i="50"/>
  <c r="C41" i="11" s="1"/>
  <c r="G40" i="50"/>
  <c r="C40" i="54" s="1"/>
  <c r="F40" i="50"/>
  <c r="C40" i="53" s="1"/>
  <c r="E40" i="50"/>
  <c r="C40" i="52" s="1"/>
  <c r="D40" i="50"/>
  <c r="C40" i="51" s="1"/>
  <c r="C40" i="50"/>
  <c r="C40" i="11" s="1"/>
  <c r="G39" i="50"/>
  <c r="C39" i="54" s="1"/>
  <c r="F39" i="50"/>
  <c r="C39" i="53" s="1"/>
  <c r="E39" i="50"/>
  <c r="C39" i="52" s="1"/>
  <c r="D39" i="50"/>
  <c r="C39" i="51" s="1"/>
  <c r="C39" i="50"/>
  <c r="C39" i="11" s="1"/>
  <c r="G38" i="50"/>
  <c r="C38" i="54" s="1"/>
  <c r="F38" i="50"/>
  <c r="C38" i="53" s="1"/>
  <c r="E38" i="50"/>
  <c r="C38" i="52" s="1"/>
  <c r="D38" i="50"/>
  <c r="C38" i="51" s="1"/>
  <c r="C38" i="50"/>
  <c r="G37" i="50"/>
  <c r="C37" i="54" s="1"/>
  <c r="F37" i="50"/>
  <c r="C37" i="53" s="1"/>
  <c r="E37" i="50"/>
  <c r="C37" i="52" s="1"/>
  <c r="D37" i="50"/>
  <c r="C37" i="51" s="1"/>
  <c r="C37" i="50"/>
  <c r="G36" i="50"/>
  <c r="C36" i="54" s="1"/>
  <c r="F36" i="50"/>
  <c r="C36" i="53" s="1"/>
  <c r="E36" i="50"/>
  <c r="C36" i="52" s="1"/>
  <c r="D36" i="50"/>
  <c r="C36" i="51" s="1"/>
  <c r="C36" i="50"/>
  <c r="C36" i="11" s="1"/>
  <c r="G35" i="50"/>
  <c r="C35" i="54" s="1"/>
  <c r="F35" i="50"/>
  <c r="C35" i="53" s="1"/>
  <c r="E35" i="50"/>
  <c r="C35" i="52" s="1"/>
  <c r="D35" i="50"/>
  <c r="C35" i="51" s="1"/>
  <c r="C35" i="50"/>
  <c r="C35" i="11" s="1"/>
  <c r="G34" i="50"/>
  <c r="C34" i="54" s="1"/>
  <c r="F34" i="50"/>
  <c r="C34" i="53" s="1"/>
  <c r="E34" i="50"/>
  <c r="C34" i="52" s="1"/>
  <c r="D34" i="50"/>
  <c r="C34" i="51" s="1"/>
  <c r="C34" i="50"/>
  <c r="C34" i="11" s="1"/>
  <c r="G33" i="50"/>
  <c r="C33" i="54" s="1"/>
  <c r="F33" i="50"/>
  <c r="C33" i="53" s="1"/>
  <c r="E33" i="50"/>
  <c r="C33" i="52" s="1"/>
  <c r="D33" i="50"/>
  <c r="C33" i="51" s="1"/>
  <c r="C33" i="50"/>
  <c r="G32" i="50"/>
  <c r="C32" i="54" s="1"/>
  <c r="F32" i="50"/>
  <c r="C32" i="53" s="1"/>
  <c r="E32" i="50"/>
  <c r="C32" i="52" s="1"/>
  <c r="D32" i="50"/>
  <c r="C32" i="51" s="1"/>
  <c r="C32" i="50"/>
  <c r="C32" i="11" s="1"/>
  <c r="G31" i="50"/>
  <c r="C31" i="54" s="1"/>
  <c r="F31" i="50"/>
  <c r="C31" i="53" s="1"/>
  <c r="E31" i="50"/>
  <c r="C31" i="52" s="1"/>
  <c r="D31" i="50"/>
  <c r="C31" i="51" s="1"/>
  <c r="C31" i="50"/>
  <c r="C31" i="11" s="1"/>
  <c r="G30" i="50"/>
  <c r="C30" i="54" s="1"/>
  <c r="F30" i="50"/>
  <c r="C30" i="53" s="1"/>
  <c r="E30" i="50"/>
  <c r="C30" i="52" s="1"/>
  <c r="D30" i="50"/>
  <c r="C30" i="51" s="1"/>
  <c r="C30" i="50"/>
  <c r="G29" i="50"/>
  <c r="C29" i="54" s="1"/>
  <c r="F29" i="50"/>
  <c r="C29" i="53" s="1"/>
  <c r="E29" i="50"/>
  <c r="C29" i="52" s="1"/>
  <c r="D29" i="50"/>
  <c r="C29" i="51" s="1"/>
  <c r="C29" i="50"/>
  <c r="C29" i="11" s="1"/>
  <c r="G28" i="50"/>
  <c r="C28" i="54" s="1"/>
  <c r="F28" i="50"/>
  <c r="C28" i="53" s="1"/>
  <c r="E28" i="50"/>
  <c r="C28" i="52" s="1"/>
  <c r="D28" i="50"/>
  <c r="C28" i="51" s="1"/>
  <c r="C28" i="50"/>
  <c r="C28" i="11" s="1"/>
  <c r="G27" i="50"/>
  <c r="C27" i="54" s="1"/>
  <c r="F27" i="50"/>
  <c r="C27" i="53" s="1"/>
  <c r="E27" i="50"/>
  <c r="C27" i="52" s="1"/>
  <c r="D27" i="50"/>
  <c r="C27" i="51" s="1"/>
  <c r="C27" i="50"/>
  <c r="C27" i="11" s="1"/>
  <c r="G26" i="50"/>
  <c r="C26" i="54" s="1"/>
  <c r="F26" i="50"/>
  <c r="C26" i="53" s="1"/>
  <c r="E26" i="50"/>
  <c r="C26" i="52" s="1"/>
  <c r="D26" i="50"/>
  <c r="C26" i="51" s="1"/>
  <c r="C26" i="50"/>
  <c r="C26" i="11" s="1"/>
  <c r="G25" i="50"/>
  <c r="C25" i="54" s="1"/>
  <c r="F25" i="50"/>
  <c r="C25" i="53" s="1"/>
  <c r="E25" i="50"/>
  <c r="C25" i="52" s="1"/>
  <c r="D25" i="50"/>
  <c r="C25" i="51" s="1"/>
  <c r="C25" i="50"/>
  <c r="C25" i="11" s="1"/>
  <c r="G24" i="50"/>
  <c r="C24" i="54" s="1"/>
  <c r="F24" i="50"/>
  <c r="C24" i="53" s="1"/>
  <c r="E24" i="50"/>
  <c r="C24" i="52" s="1"/>
  <c r="D24" i="50"/>
  <c r="C24" i="51" s="1"/>
  <c r="C24" i="50"/>
  <c r="C24" i="11" s="1"/>
  <c r="G23" i="50"/>
  <c r="C23" i="54" s="1"/>
  <c r="F23" i="50"/>
  <c r="C23" i="53" s="1"/>
  <c r="E23" i="50"/>
  <c r="C23" i="52" s="1"/>
  <c r="D23" i="50"/>
  <c r="C23" i="51" s="1"/>
  <c r="C23" i="50"/>
  <c r="C23" i="11" s="1"/>
  <c r="G22" i="50"/>
  <c r="C22" i="54" s="1"/>
  <c r="F22" i="50"/>
  <c r="C22" i="53" s="1"/>
  <c r="E22" i="50"/>
  <c r="C22" i="52" s="1"/>
  <c r="D22" i="50"/>
  <c r="C22" i="51" s="1"/>
  <c r="C22" i="50"/>
  <c r="G21" i="50"/>
  <c r="C21" i="54" s="1"/>
  <c r="F21" i="50"/>
  <c r="C21" i="53" s="1"/>
  <c r="E21" i="50"/>
  <c r="C21" i="52" s="1"/>
  <c r="D21" i="50"/>
  <c r="C21" i="51" s="1"/>
  <c r="C21" i="50"/>
  <c r="G20" i="50"/>
  <c r="C20" i="54" s="1"/>
  <c r="F20" i="50"/>
  <c r="C20" i="53" s="1"/>
  <c r="E20" i="50"/>
  <c r="C20" i="52" s="1"/>
  <c r="D20" i="50"/>
  <c r="C20" i="51" s="1"/>
  <c r="C20" i="50"/>
  <c r="C20" i="11" s="1"/>
  <c r="G19" i="50"/>
  <c r="C19" i="54" s="1"/>
  <c r="F19" i="50"/>
  <c r="C19" i="53" s="1"/>
  <c r="E19" i="50"/>
  <c r="C19" i="52" s="1"/>
  <c r="D19" i="50"/>
  <c r="C19" i="51" s="1"/>
  <c r="C19" i="50"/>
  <c r="C19" i="11" s="1"/>
  <c r="G18" i="50"/>
  <c r="C18" i="54" s="1"/>
  <c r="F18" i="50"/>
  <c r="C18" i="53" s="1"/>
  <c r="E18" i="50"/>
  <c r="C18" i="52" s="1"/>
  <c r="D18" i="50"/>
  <c r="C18" i="51" s="1"/>
  <c r="C18" i="50"/>
  <c r="C18" i="11" s="1"/>
  <c r="G17" i="50"/>
  <c r="C17" i="54" s="1"/>
  <c r="F17" i="50"/>
  <c r="C17" i="53" s="1"/>
  <c r="E17" i="50"/>
  <c r="C17" i="52" s="1"/>
  <c r="D17" i="50"/>
  <c r="C17" i="51" s="1"/>
  <c r="C17" i="50"/>
  <c r="C17" i="11" s="1"/>
  <c r="G16" i="50"/>
  <c r="C16" i="54" s="1"/>
  <c r="F16" i="50"/>
  <c r="C16" i="53" s="1"/>
  <c r="E16" i="50"/>
  <c r="C16" i="52" s="1"/>
  <c r="D16" i="50"/>
  <c r="C16" i="51" s="1"/>
  <c r="C16" i="50"/>
  <c r="C16" i="11" s="1"/>
  <c r="G15" i="50"/>
  <c r="C15" i="54" s="1"/>
  <c r="F15" i="50"/>
  <c r="C15" i="53" s="1"/>
  <c r="E15" i="50"/>
  <c r="C15" i="52" s="1"/>
  <c r="D15" i="50"/>
  <c r="C15" i="51" s="1"/>
  <c r="C15" i="50"/>
  <c r="C15" i="11" s="1"/>
  <c r="G14" i="50"/>
  <c r="C14" i="54" s="1"/>
  <c r="F14" i="50"/>
  <c r="C14" i="53" s="1"/>
  <c r="E14" i="50"/>
  <c r="C14" i="52" s="1"/>
  <c r="D14" i="50"/>
  <c r="C14" i="51" s="1"/>
  <c r="C14" i="50"/>
  <c r="C14" i="11" s="1"/>
  <c r="G13" i="50"/>
  <c r="C13" i="54" s="1"/>
  <c r="F13" i="50"/>
  <c r="C13" i="53" s="1"/>
  <c r="E13" i="50"/>
  <c r="C13" i="52" s="1"/>
  <c r="D13" i="50"/>
  <c r="C13" i="51" s="1"/>
  <c r="C13" i="50"/>
  <c r="G12" i="50"/>
  <c r="C12" i="54" s="1"/>
  <c r="F12" i="50"/>
  <c r="C12" i="53" s="1"/>
  <c r="E12" i="50"/>
  <c r="C12" i="52" s="1"/>
  <c r="D12" i="50"/>
  <c r="C12" i="51" s="1"/>
  <c r="C12" i="50"/>
  <c r="C12" i="11" s="1"/>
  <c r="G11" i="50"/>
  <c r="C11" i="54" s="1"/>
  <c r="F11" i="50"/>
  <c r="C11" i="53" s="1"/>
  <c r="E11" i="50"/>
  <c r="C11" i="52" s="1"/>
  <c r="D11" i="50"/>
  <c r="C11" i="51" s="1"/>
  <c r="C11" i="50"/>
  <c r="C11" i="11" s="1"/>
  <c r="G10" i="50"/>
  <c r="C10" i="54" s="1"/>
  <c r="F10" i="50"/>
  <c r="C10" i="53" s="1"/>
  <c r="E10" i="50"/>
  <c r="C10" i="52" s="1"/>
  <c r="D10" i="50"/>
  <c r="C10" i="51" s="1"/>
  <c r="C10" i="50"/>
  <c r="C10" i="11" s="1"/>
  <c r="G9" i="50"/>
  <c r="C9" i="54" s="1"/>
  <c r="F9" i="50"/>
  <c r="C9" i="53" s="1"/>
  <c r="E9" i="50"/>
  <c r="C9" i="52" s="1"/>
  <c r="D9" i="50"/>
  <c r="C9" i="51" s="1"/>
  <c r="C9" i="50"/>
  <c r="C9" i="11" s="1"/>
  <c r="G58" i="49"/>
  <c r="D58" i="54" s="1"/>
  <c r="F58" i="49"/>
  <c r="D58" i="53" s="1"/>
  <c r="E58" i="49"/>
  <c r="D58" i="52" s="1"/>
  <c r="D58" i="49"/>
  <c r="D58" i="51" s="1"/>
  <c r="C58" i="49"/>
  <c r="D58" i="11" s="1"/>
  <c r="G57" i="49"/>
  <c r="D57" i="54" s="1"/>
  <c r="F57" i="49"/>
  <c r="D57" i="53" s="1"/>
  <c r="E57" i="49"/>
  <c r="D57" i="52" s="1"/>
  <c r="D57" i="49"/>
  <c r="D57" i="51" s="1"/>
  <c r="C57" i="49"/>
  <c r="D57" i="11" s="1"/>
  <c r="G56" i="49"/>
  <c r="D56" i="54" s="1"/>
  <c r="F56" i="49"/>
  <c r="D56" i="53" s="1"/>
  <c r="E56" i="49"/>
  <c r="D56" i="52" s="1"/>
  <c r="D56" i="49"/>
  <c r="D56" i="51" s="1"/>
  <c r="C56" i="49"/>
  <c r="D56" i="11" s="1"/>
  <c r="G55" i="49"/>
  <c r="D55" i="54" s="1"/>
  <c r="F55" i="49"/>
  <c r="D55" i="53" s="1"/>
  <c r="E55" i="49"/>
  <c r="D55" i="52" s="1"/>
  <c r="D55" i="49"/>
  <c r="D55" i="51" s="1"/>
  <c r="C55" i="49"/>
  <c r="D55" i="11" s="1"/>
  <c r="G54" i="49"/>
  <c r="D54" i="54" s="1"/>
  <c r="F54" i="49"/>
  <c r="D54" i="53" s="1"/>
  <c r="E54" i="49"/>
  <c r="D54" i="52" s="1"/>
  <c r="D54" i="49"/>
  <c r="D54" i="51" s="1"/>
  <c r="C54" i="49"/>
  <c r="D54" i="11" s="1"/>
  <c r="G53" i="49"/>
  <c r="D53" i="54" s="1"/>
  <c r="F53" i="49"/>
  <c r="D53" i="53" s="1"/>
  <c r="E53" i="49"/>
  <c r="D53" i="52" s="1"/>
  <c r="D53" i="49"/>
  <c r="D53" i="51" s="1"/>
  <c r="C53" i="49"/>
  <c r="D53" i="11" s="1"/>
  <c r="G52" i="49"/>
  <c r="D52" i="54" s="1"/>
  <c r="F52" i="49"/>
  <c r="D52" i="53" s="1"/>
  <c r="E52" i="49"/>
  <c r="D52" i="52" s="1"/>
  <c r="D52" i="49"/>
  <c r="D52" i="51" s="1"/>
  <c r="C52" i="49"/>
  <c r="D52" i="11" s="1"/>
  <c r="G51" i="49"/>
  <c r="D51" i="54" s="1"/>
  <c r="F51" i="49"/>
  <c r="D51" i="53" s="1"/>
  <c r="E51" i="49"/>
  <c r="D51" i="52" s="1"/>
  <c r="D51" i="49"/>
  <c r="D51" i="51" s="1"/>
  <c r="C51" i="49"/>
  <c r="D51" i="11" s="1"/>
  <c r="G50" i="49"/>
  <c r="D50" i="54" s="1"/>
  <c r="F50" i="49"/>
  <c r="D50" i="53" s="1"/>
  <c r="E50" i="49"/>
  <c r="D50" i="52" s="1"/>
  <c r="D50" i="49"/>
  <c r="D50" i="51" s="1"/>
  <c r="C50" i="49"/>
  <c r="D50" i="11" s="1"/>
  <c r="G49" i="49"/>
  <c r="D49" i="54" s="1"/>
  <c r="F49" i="49"/>
  <c r="D49" i="53" s="1"/>
  <c r="E49" i="49"/>
  <c r="D49" i="52" s="1"/>
  <c r="D49" i="49"/>
  <c r="D49" i="51" s="1"/>
  <c r="C49" i="49"/>
  <c r="D49" i="11" s="1"/>
  <c r="G48" i="49"/>
  <c r="D48" i="54" s="1"/>
  <c r="F48" i="49"/>
  <c r="D48" i="53" s="1"/>
  <c r="E48" i="49"/>
  <c r="D48" i="52" s="1"/>
  <c r="D48" i="49"/>
  <c r="D48" i="51" s="1"/>
  <c r="C48" i="49"/>
  <c r="D48" i="11" s="1"/>
  <c r="G47" i="49"/>
  <c r="D47" i="54" s="1"/>
  <c r="F47" i="49"/>
  <c r="D47" i="53" s="1"/>
  <c r="E47" i="49"/>
  <c r="D47" i="52" s="1"/>
  <c r="D47" i="49"/>
  <c r="D47" i="51" s="1"/>
  <c r="C47" i="49"/>
  <c r="D47" i="11" s="1"/>
  <c r="G46" i="49"/>
  <c r="D46" i="54" s="1"/>
  <c r="F46" i="49"/>
  <c r="D46" i="53" s="1"/>
  <c r="E46" i="49"/>
  <c r="D46" i="52" s="1"/>
  <c r="D46" i="49"/>
  <c r="D46" i="51" s="1"/>
  <c r="C46" i="49"/>
  <c r="D46" i="11" s="1"/>
  <c r="G45" i="49"/>
  <c r="D45" i="54" s="1"/>
  <c r="F45" i="49"/>
  <c r="D45" i="53" s="1"/>
  <c r="E45" i="49"/>
  <c r="D45" i="52" s="1"/>
  <c r="D45" i="49"/>
  <c r="D45" i="51" s="1"/>
  <c r="C45" i="49"/>
  <c r="D45" i="11" s="1"/>
  <c r="G44" i="49"/>
  <c r="D44" i="54" s="1"/>
  <c r="F44" i="49"/>
  <c r="D44" i="53" s="1"/>
  <c r="E44" i="49"/>
  <c r="D44" i="52" s="1"/>
  <c r="D44" i="49"/>
  <c r="D44" i="51" s="1"/>
  <c r="C44" i="49"/>
  <c r="D44" i="11" s="1"/>
  <c r="G43" i="49"/>
  <c r="D43" i="54" s="1"/>
  <c r="F43" i="49"/>
  <c r="D43" i="53" s="1"/>
  <c r="E43" i="49"/>
  <c r="D43" i="52" s="1"/>
  <c r="D43" i="49"/>
  <c r="D43" i="51" s="1"/>
  <c r="C43" i="49"/>
  <c r="D43" i="11" s="1"/>
  <c r="G42" i="49"/>
  <c r="D42" i="54" s="1"/>
  <c r="F42" i="49"/>
  <c r="D42" i="53" s="1"/>
  <c r="E42" i="49"/>
  <c r="D42" i="52" s="1"/>
  <c r="D42" i="49"/>
  <c r="D42" i="51" s="1"/>
  <c r="C42" i="49"/>
  <c r="D42" i="11" s="1"/>
  <c r="G41" i="49"/>
  <c r="D41" i="54" s="1"/>
  <c r="F41" i="49"/>
  <c r="D41" i="53" s="1"/>
  <c r="E41" i="49"/>
  <c r="D41" i="52" s="1"/>
  <c r="D41" i="49"/>
  <c r="D41" i="51" s="1"/>
  <c r="C41" i="49"/>
  <c r="D41" i="11" s="1"/>
  <c r="G40" i="49"/>
  <c r="D40" i="54" s="1"/>
  <c r="F40" i="49"/>
  <c r="D40" i="53" s="1"/>
  <c r="E40" i="49"/>
  <c r="D40" i="52" s="1"/>
  <c r="D40" i="49"/>
  <c r="D40" i="51" s="1"/>
  <c r="C40" i="49"/>
  <c r="D40" i="11" s="1"/>
  <c r="G39" i="49"/>
  <c r="D39" i="54" s="1"/>
  <c r="F39" i="49"/>
  <c r="D39" i="53" s="1"/>
  <c r="E39" i="49"/>
  <c r="D39" i="52" s="1"/>
  <c r="D39" i="49"/>
  <c r="D39" i="51" s="1"/>
  <c r="C39" i="49"/>
  <c r="D39" i="11" s="1"/>
  <c r="G38" i="49"/>
  <c r="D38" i="54" s="1"/>
  <c r="F38" i="49"/>
  <c r="D38" i="53" s="1"/>
  <c r="E38" i="49"/>
  <c r="D38" i="52" s="1"/>
  <c r="D38" i="49"/>
  <c r="D38" i="51" s="1"/>
  <c r="C38" i="49"/>
  <c r="D38" i="11" s="1"/>
  <c r="G37" i="49"/>
  <c r="D37" i="54" s="1"/>
  <c r="F37" i="49"/>
  <c r="D37" i="53" s="1"/>
  <c r="E37" i="49"/>
  <c r="D37" i="52" s="1"/>
  <c r="D37" i="49"/>
  <c r="D37" i="51" s="1"/>
  <c r="C37" i="49"/>
  <c r="D37" i="11" s="1"/>
  <c r="G36" i="49"/>
  <c r="D36" i="54" s="1"/>
  <c r="F36" i="49"/>
  <c r="D36" i="53" s="1"/>
  <c r="E36" i="49"/>
  <c r="D36" i="52" s="1"/>
  <c r="D36" i="49"/>
  <c r="D36" i="51" s="1"/>
  <c r="C36" i="49"/>
  <c r="D36" i="11" s="1"/>
  <c r="G35" i="49"/>
  <c r="D35" i="54" s="1"/>
  <c r="F35" i="49"/>
  <c r="D35" i="53" s="1"/>
  <c r="E35" i="49"/>
  <c r="D35" i="52" s="1"/>
  <c r="D35" i="49"/>
  <c r="D35" i="51" s="1"/>
  <c r="C35" i="49"/>
  <c r="D35" i="11" s="1"/>
  <c r="G34" i="49"/>
  <c r="D34" i="54" s="1"/>
  <c r="F34" i="49"/>
  <c r="D34" i="53" s="1"/>
  <c r="E34" i="49"/>
  <c r="D34" i="52" s="1"/>
  <c r="D34" i="49"/>
  <c r="D34" i="51" s="1"/>
  <c r="C34" i="49"/>
  <c r="D34" i="11" s="1"/>
  <c r="G33" i="49"/>
  <c r="D33" i="54" s="1"/>
  <c r="F33" i="49"/>
  <c r="D33" i="53" s="1"/>
  <c r="E33" i="49"/>
  <c r="D33" i="52" s="1"/>
  <c r="D33" i="49"/>
  <c r="D33" i="51" s="1"/>
  <c r="C33" i="49"/>
  <c r="D33" i="11" s="1"/>
  <c r="G32" i="49"/>
  <c r="D32" i="54" s="1"/>
  <c r="F32" i="49"/>
  <c r="D32" i="53" s="1"/>
  <c r="E32" i="49"/>
  <c r="D32" i="52" s="1"/>
  <c r="D32" i="49"/>
  <c r="D32" i="51" s="1"/>
  <c r="C32" i="49"/>
  <c r="D32" i="11" s="1"/>
  <c r="G31" i="49"/>
  <c r="D31" i="54" s="1"/>
  <c r="F31" i="49"/>
  <c r="D31" i="53" s="1"/>
  <c r="E31" i="49"/>
  <c r="D31" i="52" s="1"/>
  <c r="D31" i="49"/>
  <c r="D31" i="51" s="1"/>
  <c r="C31" i="49"/>
  <c r="D31" i="11" s="1"/>
  <c r="G30" i="49"/>
  <c r="D30" i="54" s="1"/>
  <c r="F30" i="49"/>
  <c r="D30" i="53" s="1"/>
  <c r="E30" i="49"/>
  <c r="D30" i="52" s="1"/>
  <c r="D30" i="49"/>
  <c r="D30" i="51" s="1"/>
  <c r="C30" i="49"/>
  <c r="D30" i="11" s="1"/>
  <c r="G29" i="49"/>
  <c r="D29" i="54" s="1"/>
  <c r="F29" i="49"/>
  <c r="D29" i="53" s="1"/>
  <c r="E29" i="49"/>
  <c r="D29" i="52" s="1"/>
  <c r="D29" i="49"/>
  <c r="D29" i="51" s="1"/>
  <c r="C29" i="49"/>
  <c r="D29" i="11" s="1"/>
  <c r="G28" i="49"/>
  <c r="D28" i="54" s="1"/>
  <c r="F28" i="49"/>
  <c r="D28" i="53" s="1"/>
  <c r="E28" i="49"/>
  <c r="D28" i="52" s="1"/>
  <c r="D28" i="49"/>
  <c r="D28" i="51" s="1"/>
  <c r="C28" i="49"/>
  <c r="D28" i="11" s="1"/>
  <c r="G27" i="49"/>
  <c r="D27" i="54" s="1"/>
  <c r="F27" i="49"/>
  <c r="D27" i="53" s="1"/>
  <c r="E27" i="49"/>
  <c r="D27" i="52" s="1"/>
  <c r="D27" i="49"/>
  <c r="D27" i="51" s="1"/>
  <c r="C27" i="49"/>
  <c r="D27" i="11" s="1"/>
  <c r="G26" i="49"/>
  <c r="D26" i="54" s="1"/>
  <c r="F26" i="49"/>
  <c r="D26" i="53" s="1"/>
  <c r="E26" i="49"/>
  <c r="D26" i="52" s="1"/>
  <c r="D26" i="49"/>
  <c r="D26" i="51" s="1"/>
  <c r="C26" i="49"/>
  <c r="D26" i="11" s="1"/>
  <c r="G25" i="49"/>
  <c r="D25" i="54" s="1"/>
  <c r="F25" i="49"/>
  <c r="D25" i="53" s="1"/>
  <c r="E25" i="49"/>
  <c r="D25" i="52" s="1"/>
  <c r="D25" i="49"/>
  <c r="D25" i="51" s="1"/>
  <c r="C25" i="49"/>
  <c r="D25" i="11" s="1"/>
  <c r="G24" i="49"/>
  <c r="D24" i="54" s="1"/>
  <c r="F24" i="49"/>
  <c r="D24" i="53" s="1"/>
  <c r="E24" i="49"/>
  <c r="D24" i="52" s="1"/>
  <c r="D24" i="49"/>
  <c r="D24" i="51" s="1"/>
  <c r="C24" i="49"/>
  <c r="D24" i="11" s="1"/>
  <c r="G23" i="49"/>
  <c r="D23" i="54" s="1"/>
  <c r="F23" i="49"/>
  <c r="D23" i="53" s="1"/>
  <c r="E23" i="49"/>
  <c r="D23" i="52" s="1"/>
  <c r="D23" i="49"/>
  <c r="D23" i="51" s="1"/>
  <c r="C23" i="49"/>
  <c r="D23" i="11" s="1"/>
  <c r="G22" i="49"/>
  <c r="D22" i="54" s="1"/>
  <c r="F22" i="49"/>
  <c r="D22" i="53" s="1"/>
  <c r="E22" i="49"/>
  <c r="D22" i="52" s="1"/>
  <c r="D22" i="49"/>
  <c r="D22" i="51" s="1"/>
  <c r="C22" i="49"/>
  <c r="D22" i="11" s="1"/>
  <c r="G21" i="49"/>
  <c r="D21" i="54" s="1"/>
  <c r="F21" i="49"/>
  <c r="D21" i="53" s="1"/>
  <c r="E21" i="49"/>
  <c r="D21" i="52" s="1"/>
  <c r="D21" i="49"/>
  <c r="D21" i="51" s="1"/>
  <c r="C21" i="49"/>
  <c r="D21" i="11" s="1"/>
  <c r="G20" i="49"/>
  <c r="D20" i="54" s="1"/>
  <c r="F20" i="49"/>
  <c r="D20" i="53" s="1"/>
  <c r="E20" i="49"/>
  <c r="D20" i="52" s="1"/>
  <c r="D20" i="49"/>
  <c r="D20" i="51" s="1"/>
  <c r="C20" i="49"/>
  <c r="D20" i="11" s="1"/>
  <c r="G19" i="49"/>
  <c r="D19" i="54" s="1"/>
  <c r="F19" i="49"/>
  <c r="D19" i="53" s="1"/>
  <c r="E19" i="49"/>
  <c r="D19" i="52" s="1"/>
  <c r="D19" i="49"/>
  <c r="D19" i="51" s="1"/>
  <c r="C19" i="49"/>
  <c r="D19" i="11" s="1"/>
  <c r="G18" i="49"/>
  <c r="D18" i="54" s="1"/>
  <c r="F18" i="49"/>
  <c r="D18" i="53" s="1"/>
  <c r="E18" i="49"/>
  <c r="D18" i="52" s="1"/>
  <c r="D18" i="49"/>
  <c r="D18" i="51" s="1"/>
  <c r="C18" i="49"/>
  <c r="D18" i="11" s="1"/>
  <c r="G17" i="49"/>
  <c r="D17" i="54" s="1"/>
  <c r="F17" i="49"/>
  <c r="D17" i="53" s="1"/>
  <c r="E17" i="49"/>
  <c r="D17" i="52" s="1"/>
  <c r="D17" i="49"/>
  <c r="D17" i="51" s="1"/>
  <c r="C17" i="49"/>
  <c r="D17" i="11" s="1"/>
  <c r="G16" i="49"/>
  <c r="D16" i="54" s="1"/>
  <c r="F16" i="49"/>
  <c r="D16" i="53" s="1"/>
  <c r="E16" i="49"/>
  <c r="D16" i="52" s="1"/>
  <c r="D16" i="49"/>
  <c r="D16" i="51" s="1"/>
  <c r="C16" i="49"/>
  <c r="D16" i="11" s="1"/>
  <c r="G15" i="49"/>
  <c r="D15" i="54" s="1"/>
  <c r="F15" i="49"/>
  <c r="D15" i="53" s="1"/>
  <c r="E15" i="49"/>
  <c r="D15" i="52" s="1"/>
  <c r="D15" i="49"/>
  <c r="D15" i="51" s="1"/>
  <c r="C15" i="49"/>
  <c r="D15" i="11" s="1"/>
  <c r="G14" i="49"/>
  <c r="D14" i="54" s="1"/>
  <c r="F14" i="49"/>
  <c r="D14" i="53" s="1"/>
  <c r="E14" i="49"/>
  <c r="D14" i="52" s="1"/>
  <c r="D14" i="49"/>
  <c r="D14" i="51" s="1"/>
  <c r="C14" i="49"/>
  <c r="D14" i="11" s="1"/>
  <c r="G13" i="49"/>
  <c r="D13" i="54" s="1"/>
  <c r="F13" i="49"/>
  <c r="D13" i="53" s="1"/>
  <c r="E13" i="49"/>
  <c r="D13" i="52" s="1"/>
  <c r="D13" i="49"/>
  <c r="D13" i="51" s="1"/>
  <c r="C13" i="49"/>
  <c r="D13" i="11" s="1"/>
  <c r="G12" i="49"/>
  <c r="D12" i="54" s="1"/>
  <c r="F12" i="49"/>
  <c r="D12" i="53" s="1"/>
  <c r="E12" i="49"/>
  <c r="D12" i="52" s="1"/>
  <c r="D12" i="49"/>
  <c r="D12" i="51" s="1"/>
  <c r="C12" i="49"/>
  <c r="D12" i="11" s="1"/>
  <c r="G11" i="49"/>
  <c r="D11" i="54" s="1"/>
  <c r="F11" i="49"/>
  <c r="D11" i="53" s="1"/>
  <c r="E11" i="49"/>
  <c r="D11" i="52" s="1"/>
  <c r="D11" i="49"/>
  <c r="D11" i="51" s="1"/>
  <c r="C11" i="49"/>
  <c r="D11" i="11" s="1"/>
  <c r="G10" i="49"/>
  <c r="D10" i="54" s="1"/>
  <c r="F10" i="49"/>
  <c r="D10" i="53" s="1"/>
  <c r="E10" i="49"/>
  <c r="D10" i="52" s="1"/>
  <c r="D10" i="49"/>
  <c r="D10" i="51" s="1"/>
  <c r="C10" i="49"/>
  <c r="D10" i="11" s="1"/>
  <c r="G9" i="49"/>
  <c r="D9" i="54" s="1"/>
  <c r="F9" i="49"/>
  <c r="D9" i="53" s="1"/>
  <c r="E9" i="49"/>
  <c r="D9" i="52" s="1"/>
  <c r="D9" i="49"/>
  <c r="D9" i="51" s="1"/>
  <c r="C9" i="49"/>
  <c r="D9" i="11" s="1"/>
  <c r="G58" i="48"/>
  <c r="E58" i="54" s="1"/>
  <c r="F58" i="48"/>
  <c r="E58" i="53" s="1"/>
  <c r="E58" i="48"/>
  <c r="E58" i="52" s="1"/>
  <c r="D58" i="48"/>
  <c r="E58" i="51" s="1"/>
  <c r="C58" i="48"/>
  <c r="E58" i="11" s="1"/>
  <c r="G57" i="48"/>
  <c r="E57" i="54" s="1"/>
  <c r="F57" i="48"/>
  <c r="E57" i="53" s="1"/>
  <c r="E57" i="48"/>
  <c r="E57" i="52" s="1"/>
  <c r="D57" i="48"/>
  <c r="E57" i="51" s="1"/>
  <c r="C57" i="48"/>
  <c r="E57" i="11" s="1"/>
  <c r="G56" i="48"/>
  <c r="E56" i="54" s="1"/>
  <c r="F56" i="48"/>
  <c r="E56" i="53" s="1"/>
  <c r="E56" i="48"/>
  <c r="E56" i="52" s="1"/>
  <c r="D56" i="48"/>
  <c r="E56" i="51" s="1"/>
  <c r="C56" i="48"/>
  <c r="E56" i="11" s="1"/>
  <c r="G55" i="48"/>
  <c r="E55" i="54" s="1"/>
  <c r="F55" i="48"/>
  <c r="E55" i="53" s="1"/>
  <c r="E55" i="48"/>
  <c r="E55" i="52" s="1"/>
  <c r="D55" i="48"/>
  <c r="E55" i="51" s="1"/>
  <c r="C55" i="48"/>
  <c r="E55" i="11" s="1"/>
  <c r="G54" i="48"/>
  <c r="E54" i="54" s="1"/>
  <c r="F54" i="48"/>
  <c r="E54" i="53" s="1"/>
  <c r="E54" i="48"/>
  <c r="E54" i="52" s="1"/>
  <c r="D54" i="48"/>
  <c r="E54" i="51" s="1"/>
  <c r="C54" i="48"/>
  <c r="E54" i="11" s="1"/>
  <c r="G53" i="48"/>
  <c r="E53" i="54" s="1"/>
  <c r="F53" i="48"/>
  <c r="E53" i="53" s="1"/>
  <c r="E53" i="48"/>
  <c r="E53" i="52" s="1"/>
  <c r="D53" i="48"/>
  <c r="E53" i="51" s="1"/>
  <c r="C53" i="48"/>
  <c r="E53" i="11" s="1"/>
  <c r="G52" i="48"/>
  <c r="E52" i="54" s="1"/>
  <c r="F52" i="48"/>
  <c r="E52" i="53" s="1"/>
  <c r="E52" i="48"/>
  <c r="E52" i="52" s="1"/>
  <c r="D52" i="48"/>
  <c r="E52" i="51" s="1"/>
  <c r="C52" i="48"/>
  <c r="E52" i="11" s="1"/>
  <c r="G51" i="48"/>
  <c r="E51" i="54" s="1"/>
  <c r="F51" i="48"/>
  <c r="E51" i="53" s="1"/>
  <c r="E51" i="48"/>
  <c r="E51" i="52" s="1"/>
  <c r="D51" i="48"/>
  <c r="E51" i="51" s="1"/>
  <c r="C51" i="48"/>
  <c r="E51" i="11" s="1"/>
  <c r="G50" i="48"/>
  <c r="E50" i="54" s="1"/>
  <c r="F50" i="48"/>
  <c r="E50" i="53" s="1"/>
  <c r="E50" i="48"/>
  <c r="E50" i="52" s="1"/>
  <c r="D50" i="48"/>
  <c r="E50" i="51" s="1"/>
  <c r="C50" i="48"/>
  <c r="E50" i="11" s="1"/>
  <c r="G49" i="48"/>
  <c r="E49" i="54" s="1"/>
  <c r="F49" i="48"/>
  <c r="E49" i="53" s="1"/>
  <c r="E49" i="48"/>
  <c r="E49" i="52" s="1"/>
  <c r="D49" i="48"/>
  <c r="E49" i="51" s="1"/>
  <c r="C49" i="48"/>
  <c r="E49" i="11" s="1"/>
  <c r="G48" i="48"/>
  <c r="E48" i="54" s="1"/>
  <c r="F48" i="48"/>
  <c r="E48" i="53" s="1"/>
  <c r="E48" i="48"/>
  <c r="E48" i="52" s="1"/>
  <c r="D48" i="48"/>
  <c r="E48" i="51" s="1"/>
  <c r="C48" i="48"/>
  <c r="E48" i="11" s="1"/>
  <c r="G47" i="48"/>
  <c r="E47" i="54" s="1"/>
  <c r="F47" i="48"/>
  <c r="E47" i="53" s="1"/>
  <c r="E47" i="48"/>
  <c r="E47" i="52" s="1"/>
  <c r="D47" i="48"/>
  <c r="E47" i="51" s="1"/>
  <c r="C47" i="48"/>
  <c r="E47" i="11" s="1"/>
  <c r="G46" i="48"/>
  <c r="E46" i="54" s="1"/>
  <c r="F46" i="48"/>
  <c r="E46" i="53" s="1"/>
  <c r="E46" i="48"/>
  <c r="E46" i="52" s="1"/>
  <c r="D46" i="48"/>
  <c r="E46" i="51" s="1"/>
  <c r="C46" i="48"/>
  <c r="E46" i="11" s="1"/>
  <c r="G45" i="48"/>
  <c r="E45" i="54" s="1"/>
  <c r="F45" i="48"/>
  <c r="E45" i="53" s="1"/>
  <c r="E45" i="48"/>
  <c r="E45" i="52" s="1"/>
  <c r="D45" i="48"/>
  <c r="E45" i="51" s="1"/>
  <c r="C45" i="48"/>
  <c r="E45" i="11" s="1"/>
  <c r="G44" i="48"/>
  <c r="E44" i="54" s="1"/>
  <c r="F44" i="48"/>
  <c r="E44" i="53" s="1"/>
  <c r="E44" i="48"/>
  <c r="E44" i="52" s="1"/>
  <c r="D44" i="48"/>
  <c r="E44" i="51" s="1"/>
  <c r="C44" i="48"/>
  <c r="E44" i="11" s="1"/>
  <c r="G43" i="48"/>
  <c r="E43" i="54" s="1"/>
  <c r="F43" i="48"/>
  <c r="E43" i="53" s="1"/>
  <c r="E43" i="48"/>
  <c r="E43" i="52" s="1"/>
  <c r="D43" i="48"/>
  <c r="E43" i="51" s="1"/>
  <c r="C43" i="48"/>
  <c r="E43" i="11" s="1"/>
  <c r="G42" i="48"/>
  <c r="E42" i="54" s="1"/>
  <c r="F42" i="48"/>
  <c r="E42" i="53" s="1"/>
  <c r="E42" i="48"/>
  <c r="E42" i="52" s="1"/>
  <c r="D42" i="48"/>
  <c r="E42" i="51" s="1"/>
  <c r="C42" i="48"/>
  <c r="E42" i="11" s="1"/>
  <c r="G41" i="48"/>
  <c r="E41" i="54" s="1"/>
  <c r="F41" i="48"/>
  <c r="E41" i="53" s="1"/>
  <c r="E41" i="48"/>
  <c r="E41" i="52" s="1"/>
  <c r="D41" i="48"/>
  <c r="E41" i="51" s="1"/>
  <c r="C41" i="48"/>
  <c r="E41" i="11" s="1"/>
  <c r="G40" i="48"/>
  <c r="E40" i="54" s="1"/>
  <c r="F40" i="48"/>
  <c r="E40" i="53" s="1"/>
  <c r="E40" i="48"/>
  <c r="E40" i="52" s="1"/>
  <c r="D40" i="48"/>
  <c r="E40" i="51" s="1"/>
  <c r="C40" i="48"/>
  <c r="E40" i="11" s="1"/>
  <c r="G39" i="48"/>
  <c r="E39" i="54" s="1"/>
  <c r="F39" i="48"/>
  <c r="E39" i="53" s="1"/>
  <c r="E39" i="48"/>
  <c r="E39" i="52" s="1"/>
  <c r="D39" i="48"/>
  <c r="E39" i="51" s="1"/>
  <c r="C39" i="48"/>
  <c r="E39" i="11" s="1"/>
  <c r="G38" i="48"/>
  <c r="E38" i="54" s="1"/>
  <c r="F38" i="48"/>
  <c r="E38" i="53" s="1"/>
  <c r="E38" i="48"/>
  <c r="E38" i="52" s="1"/>
  <c r="D38" i="48"/>
  <c r="E38" i="51" s="1"/>
  <c r="C38" i="48"/>
  <c r="E38" i="11" s="1"/>
  <c r="G37" i="48"/>
  <c r="E37" i="54" s="1"/>
  <c r="F37" i="48"/>
  <c r="E37" i="53" s="1"/>
  <c r="E37" i="48"/>
  <c r="E37" i="52" s="1"/>
  <c r="D37" i="48"/>
  <c r="E37" i="51" s="1"/>
  <c r="C37" i="48"/>
  <c r="E37" i="11" s="1"/>
  <c r="G36" i="48"/>
  <c r="E36" i="54" s="1"/>
  <c r="F36" i="48"/>
  <c r="E36" i="53" s="1"/>
  <c r="E36" i="48"/>
  <c r="E36" i="52" s="1"/>
  <c r="D36" i="48"/>
  <c r="E36" i="51" s="1"/>
  <c r="C36" i="48"/>
  <c r="E36" i="11" s="1"/>
  <c r="G35" i="48"/>
  <c r="E35" i="54" s="1"/>
  <c r="F35" i="48"/>
  <c r="E35" i="53" s="1"/>
  <c r="E35" i="48"/>
  <c r="E35" i="52" s="1"/>
  <c r="D35" i="48"/>
  <c r="E35" i="51" s="1"/>
  <c r="C35" i="48"/>
  <c r="E35" i="11" s="1"/>
  <c r="G34" i="48"/>
  <c r="E34" i="54" s="1"/>
  <c r="F34" i="48"/>
  <c r="E34" i="53" s="1"/>
  <c r="E34" i="48"/>
  <c r="E34" i="52" s="1"/>
  <c r="D34" i="48"/>
  <c r="E34" i="51" s="1"/>
  <c r="C34" i="48"/>
  <c r="E34" i="11" s="1"/>
  <c r="G33" i="48"/>
  <c r="E33" i="54" s="1"/>
  <c r="F33" i="48"/>
  <c r="E33" i="53" s="1"/>
  <c r="E33" i="48"/>
  <c r="E33" i="52" s="1"/>
  <c r="D33" i="48"/>
  <c r="E33" i="51" s="1"/>
  <c r="C33" i="48"/>
  <c r="E33" i="11" s="1"/>
  <c r="G32" i="48"/>
  <c r="E32" i="54" s="1"/>
  <c r="F32" i="48"/>
  <c r="E32" i="53" s="1"/>
  <c r="E32" i="48"/>
  <c r="E32" i="52" s="1"/>
  <c r="D32" i="48"/>
  <c r="E32" i="51" s="1"/>
  <c r="C32" i="48"/>
  <c r="E32" i="11" s="1"/>
  <c r="G31" i="48"/>
  <c r="E31" i="54" s="1"/>
  <c r="F31" i="48"/>
  <c r="E31" i="53" s="1"/>
  <c r="E31" i="48"/>
  <c r="E31" i="52" s="1"/>
  <c r="D31" i="48"/>
  <c r="E31" i="51" s="1"/>
  <c r="C31" i="48"/>
  <c r="E31" i="11" s="1"/>
  <c r="G30" i="48"/>
  <c r="E30" i="54" s="1"/>
  <c r="F30" i="48"/>
  <c r="E30" i="53" s="1"/>
  <c r="E30" i="48"/>
  <c r="E30" i="52" s="1"/>
  <c r="D30" i="48"/>
  <c r="E30" i="51" s="1"/>
  <c r="C30" i="48"/>
  <c r="E30" i="11" s="1"/>
  <c r="G29" i="48"/>
  <c r="E29" i="54" s="1"/>
  <c r="F29" i="48"/>
  <c r="E29" i="53" s="1"/>
  <c r="E29" i="48"/>
  <c r="E29" i="52" s="1"/>
  <c r="D29" i="48"/>
  <c r="E29" i="51" s="1"/>
  <c r="C29" i="48"/>
  <c r="E29" i="11" s="1"/>
  <c r="G28" i="48"/>
  <c r="E28" i="54" s="1"/>
  <c r="F28" i="48"/>
  <c r="E28" i="53" s="1"/>
  <c r="E28" i="48"/>
  <c r="E28" i="52" s="1"/>
  <c r="D28" i="48"/>
  <c r="E28" i="51" s="1"/>
  <c r="C28" i="48"/>
  <c r="E28" i="11" s="1"/>
  <c r="G27" i="48"/>
  <c r="E27" i="54" s="1"/>
  <c r="F27" i="48"/>
  <c r="E27" i="53" s="1"/>
  <c r="E27" i="48"/>
  <c r="E27" i="52" s="1"/>
  <c r="D27" i="48"/>
  <c r="E27" i="51" s="1"/>
  <c r="C27" i="48"/>
  <c r="E27" i="11" s="1"/>
  <c r="G26" i="48"/>
  <c r="E26" i="54" s="1"/>
  <c r="F26" i="48"/>
  <c r="E26" i="53" s="1"/>
  <c r="E26" i="48"/>
  <c r="E26" i="52" s="1"/>
  <c r="D26" i="48"/>
  <c r="E26" i="51" s="1"/>
  <c r="C26" i="48"/>
  <c r="E26" i="11" s="1"/>
  <c r="G25" i="48"/>
  <c r="E25" i="54" s="1"/>
  <c r="F25" i="48"/>
  <c r="E25" i="53" s="1"/>
  <c r="E25" i="48"/>
  <c r="E25" i="52" s="1"/>
  <c r="D25" i="48"/>
  <c r="E25" i="51" s="1"/>
  <c r="C25" i="48"/>
  <c r="E25" i="11" s="1"/>
  <c r="G24" i="48"/>
  <c r="E24" i="54" s="1"/>
  <c r="F24" i="48"/>
  <c r="E24" i="53" s="1"/>
  <c r="E24" i="48"/>
  <c r="E24" i="52" s="1"/>
  <c r="D24" i="48"/>
  <c r="E24" i="51" s="1"/>
  <c r="C24" i="48"/>
  <c r="E24" i="11" s="1"/>
  <c r="G23" i="48"/>
  <c r="E23" i="54" s="1"/>
  <c r="F23" i="48"/>
  <c r="E23" i="53" s="1"/>
  <c r="E23" i="48"/>
  <c r="E23" i="52" s="1"/>
  <c r="D23" i="48"/>
  <c r="E23" i="51" s="1"/>
  <c r="C23" i="48"/>
  <c r="E23" i="11" s="1"/>
  <c r="G22" i="48"/>
  <c r="E22" i="54" s="1"/>
  <c r="F22" i="48"/>
  <c r="E22" i="53" s="1"/>
  <c r="E22" i="48"/>
  <c r="E22" i="52" s="1"/>
  <c r="D22" i="48"/>
  <c r="E22" i="51" s="1"/>
  <c r="C22" i="48"/>
  <c r="E22" i="11" s="1"/>
  <c r="G21" i="48"/>
  <c r="E21" i="54" s="1"/>
  <c r="F21" i="48"/>
  <c r="E21" i="53" s="1"/>
  <c r="E21" i="48"/>
  <c r="E21" i="52" s="1"/>
  <c r="D21" i="48"/>
  <c r="E21" i="51" s="1"/>
  <c r="C21" i="48"/>
  <c r="E21" i="11" s="1"/>
  <c r="G20" i="48"/>
  <c r="E20" i="54" s="1"/>
  <c r="F20" i="48"/>
  <c r="E20" i="53" s="1"/>
  <c r="E20" i="48"/>
  <c r="E20" i="52" s="1"/>
  <c r="D20" i="48"/>
  <c r="E20" i="51" s="1"/>
  <c r="C20" i="48"/>
  <c r="E20" i="11" s="1"/>
  <c r="G19" i="48"/>
  <c r="E19" i="54" s="1"/>
  <c r="F19" i="48"/>
  <c r="E19" i="53" s="1"/>
  <c r="E19" i="48"/>
  <c r="E19" i="52" s="1"/>
  <c r="D19" i="48"/>
  <c r="E19" i="51" s="1"/>
  <c r="C19" i="48"/>
  <c r="E19" i="11" s="1"/>
  <c r="G18" i="48"/>
  <c r="E18" i="54" s="1"/>
  <c r="F18" i="48"/>
  <c r="E18" i="53" s="1"/>
  <c r="E18" i="48"/>
  <c r="E18" i="52" s="1"/>
  <c r="D18" i="48"/>
  <c r="E18" i="51" s="1"/>
  <c r="C18" i="48"/>
  <c r="E18" i="11" s="1"/>
  <c r="G17" i="48"/>
  <c r="E17" i="54" s="1"/>
  <c r="F17" i="48"/>
  <c r="E17" i="53" s="1"/>
  <c r="E17" i="48"/>
  <c r="E17" i="52" s="1"/>
  <c r="D17" i="48"/>
  <c r="E17" i="51" s="1"/>
  <c r="C17" i="48"/>
  <c r="E17" i="11" s="1"/>
  <c r="G16" i="48"/>
  <c r="E16" i="54" s="1"/>
  <c r="F16" i="48"/>
  <c r="E16" i="53" s="1"/>
  <c r="E16" i="48"/>
  <c r="E16" i="52" s="1"/>
  <c r="D16" i="48"/>
  <c r="E16" i="51" s="1"/>
  <c r="C16" i="48"/>
  <c r="E16" i="11" s="1"/>
  <c r="G15" i="48"/>
  <c r="E15" i="54" s="1"/>
  <c r="F15" i="48"/>
  <c r="E15" i="53" s="1"/>
  <c r="E15" i="48"/>
  <c r="E15" i="52" s="1"/>
  <c r="D15" i="48"/>
  <c r="E15" i="51" s="1"/>
  <c r="C15" i="48"/>
  <c r="E15" i="11" s="1"/>
  <c r="G14" i="48"/>
  <c r="E14" i="54" s="1"/>
  <c r="F14" i="48"/>
  <c r="E14" i="53" s="1"/>
  <c r="E14" i="48"/>
  <c r="E14" i="52" s="1"/>
  <c r="D14" i="48"/>
  <c r="E14" i="51" s="1"/>
  <c r="C14" i="48"/>
  <c r="E14" i="11" s="1"/>
  <c r="G13" i="48"/>
  <c r="E13" i="54" s="1"/>
  <c r="F13" i="48"/>
  <c r="E13" i="53" s="1"/>
  <c r="E13" i="48"/>
  <c r="E13" i="52" s="1"/>
  <c r="D13" i="48"/>
  <c r="E13" i="51" s="1"/>
  <c r="C13" i="48"/>
  <c r="E13" i="11" s="1"/>
  <c r="G12" i="48"/>
  <c r="E12" i="54" s="1"/>
  <c r="F12" i="48"/>
  <c r="E12" i="53" s="1"/>
  <c r="E12" i="48"/>
  <c r="E12" i="52" s="1"/>
  <c r="D12" i="48"/>
  <c r="E12" i="51" s="1"/>
  <c r="C12" i="48"/>
  <c r="E12" i="11" s="1"/>
  <c r="G11" i="48"/>
  <c r="E11" i="54" s="1"/>
  <c r="F11" i="48"/>
  <c r="E11" i="53" s="1"/>
  <c r="E11" i="48"/>
  <c r="E11" i="52" s="1"/>
  <c r="D11" i="48"/>
  <c r="E11" i="51" s="1"/>
  <c r="C11" i="48"/>
  <c r="E11" i="11" s="1"/>
  <c r="G10" i="48"/>
  <c r="E10" i="54" s="1"/>
  <c r="F10" i="48"/>
  <c r="E10" i="53" s="1"/>
  <c r="E10" i="48"/>
  <c r="E10" i="52" s="1"/>
  <c r="D10" i="48"/>
  <c r="E10" i="51" s="1"/>
  <c r="C10" i="48"/>
  <c r="E10" i="11" s="1"/>
  <c r="G9" i="48"/>
  <c r="E9" i="54" s="1"/>
  <c r="F9" i="48"/>
  <c r="E9" i="53" s="1"/>
  <c r="E9" i="48"/>
  <c r="E9" i="52" s="1"/>
  <c r="D9" i="48"/>
  <c r="E9" i="51" s="1"/>
  <c r="C9" i="48"/>
  <c r="E9" i="11" s="1"/>
  <c r="G58" i="47"/>
  <c r="F58" i="54" s="1"/>
  <c r="F58" i="47"/>
  <c r="F58" i="53" s="1"/>
  <c r="E58" i="47"/>
  <c r="F58" i="52" s="1"/>
  <c r="D58" i="47"/>
  <c r="F58" i="51" s="1"/>
  <c r="C58" i="47"/>
  <c r="F58" i="11" s="1"/>
  <c r="G57" i="47"/>
  <c r="F57" i="54" s="1"/>
  <c r="F57" i="47"/>
  <c r="F57" i="53" s="1"/>
  <c r="E57" i="47"/>
  <c r="F57" i="52" s="1"/>
  <c r="D57" i="47"/>
  <c r="F57" i="51" s="1"/>
  <c r="C57" i="47"/>
  <c r="F57" i="11" s="1"/>
  <c r="G56" i="47"/>
  <c r="F56" i="54" s="1"/>
  <c r="F56" i="47"/>
  <c r="F56" i="53" s="1"/>
  <c r="E56" i="47"/>
  <c r="F56" i="52" s="1"/>
  <c r="D56" i="47"/>
  <c r="F56" i="51" s="1"/>
  <c r="C56" i="47"/>
  <c r="F56" i="11" s="1"/>
  <c r="G55" i="47"/>
  <c r="F55" i="54" s="1"/>
  <c r="F55" i="47"/>
  <c r="F55" i="53" s="1"/>
  <c r="E55" i="47"/>
  <c r="F55" i="52" s="1"/>
  <c r="D55" i="47"/>
  <c r="F55" i="51" s="1"/>
  <c r="C55" i="47"/>
  <c r="F55" i="11" s="1"/>
  <c r="G54" i="47"/>
  <c r="F54" i="54" s="1"/>
  <c r="F54" i="47"/>
  <c r="F54" i="53" s="1"/>
  <c r="E54" i="47"/>
  <c r="F54" i="52" s="1"/>
  <c r="D54" i="47"/>
  <c r="F54" i="51" s="1"/>
  <c r="C54" i="47"/>
  <c r="F54" i="11" s="1"/>
  <c r="G53" i="47"/>
  <c r="F53" i="54" s="1"/>
  <c r="F53" i="47"/>
  <c r="F53" i="53" s="1"/>
  <c r="E53" i="47"/>
  <c r="F53" i="52" s="1"/>
  <c r="D53" i="47"/>
  <c r="F53" i="51" s="1"/>
  <c r="C53" i="47"/>
  <c r="F53" i="11" s="1"/>
  <c r="G52" i="47"/>
  <c r="F52" i="54" s="1"/>
  <c r="F52" i="47"/>
  <c r="F52" i="53" s="1"/>
  <c r="E52" i="47"/>
  <c r="F52" i="52" s="1"/>
  <c r="D52" i="47"/>
  <c r="F52" i="51" s="1"/>
  <c r="C52" i="47"/>
  <c r="F52" i="11" s="1"/>
  <c r="G51" i="47"/>
  <c r="F51" i="54" s="1"/>
  <c r="F51" i="47"/>
  <c r="F51" i="53" s="1"/>
  <c r="E51" i="47"/>
  <c r="F51" i="52" s="1"/>
  <c r="D51" i="47"/>
  <c r="F51" i="51" s="1"/>
  <c r="C51" i="47"/>
  <c r="F51" i="11" s="1"/>
  <c r="G50" i="47"/>
  <c r="F50" i="54" s="1"/>
  <c r="F50" i="47"/>
  <c r="F50" i="53" s="1"/>
  <c r="E50" i="47"/>
  <c r="F50" i="52" s="1"/>
  <c r="D50" i="47"/>
  <c r="F50" i="51" s="1"/>
  <c r="C50" i="47"/>
  <c r="F50" i="11" s="1"/>
  <c r="G49" i="47"/>
  <c r="F49" i="54" s="1"/>
  <c r="F49" i="47"/>
  <c r="F49" i="53" s="1"/>
  <c r="E49" i="47"/>
  <c r="F49" i="52" s="1"/>
  <c r="D49" i="47"/>
  <c r="F49" i="51" s="1"/>
  <c r="C49" i="47"/>
  <c r="F49" i="11" s="1"/>
  <c r="G48" i="47"/>
  <c r="F48" i="54" s="1"/>
  <c r="F48" i="47"/>
  <c r="F48" i="53" s="1"/>
  <c r="E48" i="47"/>
  <c r="F48" i="52" s="1"/>
  <c r="D48" i="47"/>
  <c r="F48" i="51" s="1"/>
  <c r="C48" i="47"/>
  <c r="F48" i="11" s="1"/>
  <c r="G47" i="47"/>
  <c r="F47" i="54" s="1"/>
  <c r="F47" i="47"/>
  <c r="F47" i="53" s="1"/>
  <c r="E47" i="47"/>
  <c r="F47" i="52" s="1"/>
  <c r="D47" i="47"/>
  <c r="F47" i="51" s="1"/>
  <c r="C47" i="47"/>
  <c r="F47" i="11" s="1"/>
  <c r="G46" i="47"/>
  <c r="F46" i="54" s="1"/>
  <c r="F46" i="47"/>
  <c r="F46" i="53" s="1"/>
  <c r="E46" i="47"/>
  <c r="F46" i="52" s="1"/>
  <c r="D46" i="47"/>
  <c r="F46" i="51" s="1"/>
  <c r="C46" i="47"/>
  <c r="F46" i="11" s="1"/>
  <c r="G45" i="47"/>
  <c r="F45" i="54" s="1"/>
  <c r="F45" i="47"/>
  <c r="F45" i="53" s="1"/>
  <c r="E45" i="47"/>
  <c r="F45" i="52" s="1"/>
  <c r="D45" i="47"/>
  <c r="F45" i="51" s="1"/>
  <c r="C45" i="47"/>
  <c r="F45" i="11" s="1"/>
  <c r="G44" i="47"/>
  <c r="F44" i="54" s="1"/>
  <c r="F44" i="47"/>
  <c r="F44" i="53" s="1"/>
  <c r="E44" i="47"/>
  <c r="F44" i="52" s="1"/>
  <c r="D44" i="47"/>
  <c r="F44" i="51" s="1"/>
  <c r="C44" i="47"/>
  <c r="F44" i="11" s="1"/>
  <c r="G43" i="47"/>
  <c r="F43" i="54" s="1"/>
  <c r="F43" i="47"/>
  <c r="F43" i="53" s="1"/>
  <c r="E43" i="47"/>
  <c r="F43" i="52" s="1"/>
  <c r="D43" i="47"/>
  <c r="F43" i="51" s="1"/>
  <c r="C43" i="47"/>
  <c r="F43" i="11" s="1"/>
  <c r="G42" i="47"/>
  <c r="F42" i="54" s="1"/>
  <c r="F42" i="47"/>
  <c r="F42" i="53" s="1"/>
  <c r="E42" i="47"/>
  <c r="F42" i="52" s="1"/>
  <c r="D42" i="47"/>
  <c r="F42" i="51" s="1"/>
  <c r="C42" i="47"/>
  <c r="F42" i="11" s="1"/>
  <c r="G41" i="47"/>
  <c r="F41" i="54" s="1"/>
  <c r="F41" i="47"/>
  <c r="F41" i="53" s="1"/>
  <c r="E41" i="47"/>
  <c r="F41" i="52" s="1"/>
  <c r="D41" i="47"/>
  <c r="F41" i="51" s="1"/>
  <c r="C41" i="47"/>
  <c r="F41" i="11" s="1"/>
  <c r="G40" i="47"/>
  <c r="F40" i="54" s="1"/>
  <c r="F40" i="47"/>
  <c r="F40" i="53" s="1"/>
  <c r="E40" i="47"/>
  <c r="F40" i="52" s="1"/>
  <c r="D40" i="47"/>
  <c r="F40" i="51" s="1"/>
  <c r="C40" i="47"/>
  <c r="F40" i="11" s="1"/>
  <c r="G39" i="47"/>
  <c r="F39" i="54" s="1"/>
  <c r="F39" i="47"/>
  <c r="F39" i="53" s="1"/>
  <c r="E39" i="47"/>
  <c r="F39" i="52" s="1"/>
  <c r="D39" i="47"/>
  <c r="F39" i="51" s="1"/>
  <c r="C39" i="47"/>
  <c r="F39" i="11" s="1"/>
  <c r="G38" i="47"/>
  <c r="F38" i="54" s="1"/>
  <c r="F38" i="47"/>
  <c r="F38" i="53" s="1"/>
  <c r="E38" i="47"/>
  <c r="F38" i="52" s="1"/>
  <c r="D38" i="47"/>
  <c r="F38" i="51" s="1"/>
  <c r="C38" i="47"/>
  <c r="F38" i="11" s="1"/>
  <c r="G37" i="47"/>
  <c r="F37" i="54" s="1"/>
  <c r="F37" i="47"/>
  <c r="F37" i="53" s="1"/>
  <c r="E37" i="47"/>
  <c r="F37" i="52" s="1"/>
  <c r="D37" i="47"/>
  <c r="F37" i="51" s="1"/>
  <c r="C37" i="47"/>
  <c r="F37" i="11" s="1"/>
  <c r="G36" i="47"/>
  <c r="F36" i="54" s="1"/>
  <c r="F36" i="47"/>
  <c r="F36" i="53" s="1"/>
  <c r="E36" i="47"/>
  <c r="F36" i="52" s="1"/>
  <c r="D36" i="47"/>
  <c r="F36" i="51" s="1"/>
  <c r="C36" i="47"/>
  <c r="F36" i="11" s="1"/>
  <c r="G35" i="47"/>
  <c r="F35" i="54" s="1"/>
  <c r="F35" i="47"/>
  <c r="F35" i="53" s="1"/>
  <c r="E35" i="47"/>
  <c r="F35" i="52" s="1"/>
  <c r="D35" i="47"/>
  <c r="F35" i="51" s="1"/>
  <c r="C35" i="47"/>
  <c r="F35" i="11" s="1"/>
  <c r="G34" i="47"/>
  <c r="F34" i="54" s="1"/>
  <c r="F34" i="47"/>
  <c r="F34" i="53" s="1"/>
  <c r="E34" i="47"/>
  <c r="F34" i="52" s="1"/>
  <c r="D34" i="47"/>
  <c r="F34" i="51" s="1"/>
  <c r="C34" i="47"/>
  <c r="F34" i="11" s="1"/>
  <c r="G33" i="47"/>
  <c r="F33" i="54" s="1"/>
  <c r="F33" i="47"/>
  <c r="F33" i="53" s="1"/>
  <c r="E33" i="47"/>
  <c r="F33" i="52" s="1"/>
  <c r="D33" i="47"/>
  <c r="F33" i="51" s="1"/>
  <c r="C33" i="47"/>
  <c r="F33" i="11" s="1"/>
  <c r="G32" i="47"/>
  <c r="F32" i="54" s="1"/>
  <c r="F32" i="47"/>
  <c r="F32" i="53" s="1"/>
  <c r="E32" i="47"/>
  <c r="F32" i="52" s="1"/>
  <c r="D32" i="47"/>
  <c r="F32" i="51" s="1"/>
  <c r="C32" i="47"/>
  <c r="F32" i="11" s="1"/>
  <c r="G31" i="47"/>
  <c r="F31" i="54" s="1"/>
  <c r="F31" i="47"/>
  <c r="F31" i="53" s="1"/>
  <c r="E31" i="47"/>
  <c r="F31" i="52" s="1"/>
  <c r="D31" i="47"/>
  <c r="F31" i="51" s="1"/>
  <c r="C31" i="47"/>
  <c r="F31" i="11" s="1"/>
  <c r="G30" i="47"/>
  <c r="F30" i="54" s="1"/>
  <c r="F30" i="47"/>
  <c r="F30" i="53" s="1"/>
  <c r="E30" i="47"/>
  <c r="F30" i="52" s="1"/>
  <c r="D30" i="47"/>
  <c r="F30" i="51" s="1"/>
  <c r="C30" i="47"/>
  <c r="F30" i="11" s="1"/>
  <c r="G29" i="47"/>
  <c r="F29" i="54" s="1"/>
  <c r="F29" i="47"/>
  <c r="F29" i="53" s="1"/>
  <c r="E29" i="47"/>
  <c r="F29" i="52" s="1"/>
  <c r="D29" i="47"/>
  <c r="F29" i="51" s="1"/>
  <c r="C29" i="47"/>
  <c r="F29" i="11" s="1"/>
  <c r="G28" i="47"/>
  <c r="F28" i="54" s="1"/>
  <c r="F28" i="47"/>
  <c r="F28" i="53" s="1"/>
  <c r="E28" i="47"/>
  <c r="F28" i="52" s="1"/>
  <c r="D28" i="47"/>
  <c r="F28" i="51" s="1"/>
  <c r="C28" i="47"/>
  <c r="F28" i="11" s="1"/>
  <c r="G27" i="47"/>
  <c r="F27" i="54" s="1"/>
  <c r="F27" i="47"/>
  <c r="F27" i="53" s="1"/>
  <c r="E27" i="47"/>
  <c r="F27" i="52" s="1"/>
  <c r="D27" i="47"/>
  <c r="F27" i="51" s="1"/>
  <c r="C27" i="47"/>
  <c r="F27" i="11" s="1"/>
  <c r="G26" i="47"/>
  <c r="F26" i="54" s="1"/>
  <c r="F26" i="47"/>
  <c r="F26" i="53" s="1"/>
  <c r="E26" i="47"/>
  <c r="F26" i="52" s="1"/>
  <c r="D26" i="47"/>
  <c r="F26" i="51" s="1"/>
  <c r="C26" i="47"/>
  <c r="F26" i="11" s="1"/>
  <c r="G25" i="47"/>
  <c r="F25" i="54" s="1"/>
  <c r="F25" i="47"/>
  <c r="F25" i="53" s="1"/>
  <c r="E25" i="47"/>
  <c r="F25" i="52" s="1"/>
  <c r="D25" i="47"/>
  <c r="F25" i="51" s="1"/>
  <c r="C25" i="47"/>
  <c r="F25" i="11" s="1"/>
  <c r="G24" i="47"/>
  <c r="F24" i="54" s="1"/>
  <c r="F24" i="47"/>
  <c r="F24" i="53" s="1"/>
  <c r="E24" i="47"/>
  <c r="F24" i="52" s="1"/>
  <c r="D24" i="47"/>
  <c r="F24" i="51" s="1"/>
  <c r="C24" i="47"/>
  <c r="F24" i="11" s="1"/>
  <c r="G23" i="47"/>
  <c r="F23" i="54" s="1"/>
  <c r="F23" i="47"/>
  <c r="F23" i="53" s="1"/>
  <c r="E23" i="47"/>
  <c r="F23" i="52" s="1"/>
  <c r="D23" i="47"/>
  <c r="F23" i="51" s="1"/>
  <c r="C23" i="47"/>
  <c r="F23" i="11" s="1"/>
  <c r="G22" i="47"/>
  <c r="F22" i="54" s="1"/>
  <c r="F22" i="47"/>
  <c r="F22" i="53" s="1"/>
  <c r="E22" i="47"/>
  <c r="F22" i="52" s="1"/>
  <c r="D22" i="47"/>
  <c r="F22" i="51" s="1"/>
  <c r="C22" i="47"/>
  <c r="F22" i="11" s="1"/>
  <c r="G21" i="47"/>
  <c r="F21" i="54" s="1"/>
  <c r="F21" i="47"/>
  <c r="F21" i="53" s="1"/>
  <c r="E21" i="47"/>
  <c r="F21" i="52" s="1"/>
  <c r="D21" i="47"/>
  <c r="F21" i="51" s="1"/>
  <c r="C21" i="47"/>
  <c r="F21" i="11" s="1"/>
  <c r="G20" i="47"/>
  <c r="F20" i="54" s="1"/>
  <c r="F20" i="47"/>
  <c r="F20" i="53" s="1"/>
  <c r="E20" i="47"/>
  <c r="F20" i="52" s="1"/>
  <c r="D20" i="47"/>
  <c r="F20" i="51" s="1"/>
  <c r="C20" i="47"/>
  <c r="F20" i="11" s="1"/>
  <c r="G19" i="47"/>
  <c r="F19" i="54" s="1"/>
  <c r="F19" i="47"/>
  <c r="F19" i="53" s="1"/>
  <c r="E19" i="47"/>
  <c r="F19" i="52" s="1"/>
  <c r="D19" i="47"/>
  <c r="F19" i="51" s="1"/>
  <c r="C19" i="47"/>
  <c r="F19" i="11" s="1"/>
  <c r="G18" i="47"/>
  <c r="F18" i="54" s="1"/>
  <c r="F18" i="47"/>
  <c r="F18" i="53" s="1"/>
  <c r="E18" i="47"/>
  <c r="F18" i="52" s="1"/>
  <c r="D18" i="47"/>
  <c r="F18" i="51" s="1"/>
  <c r="C18" i="47"/>
  <c r="F18" i="11" s="1"/>
  <c r="G17" i="47"/>
  <c r="F17" i="54" s="1"/>
  <c r="F17" i="47"/>
  <c r="F17" i="53" s="1"/>
  <c r="E17" i="47"/>
  <c r="F17" i="52" s="1"/>
  <c r="D17" i="47"/>
  <c r="F17" i="51" s="1"/>
  <c r="C17" i="47"/>
  <c r="F17" i="11" s="1"/>
  <c r="G16" i="47"/>
  <c r="F16" i="54" s="1"/>
  <c r="F16" i="47"/>
  <c r="F16" i="53" s="1"/>
  <c r="E16" i="47"/>
  <c r="F16" i="52" s="1"/>
  <c r="D16" i="47"/>
  <c r="F16" i="51" s="1"/>
  <c r="C16" i="47"/>
  <c r="F16" i="11" s="1"/>
  <c r="G15" i="47"/>
  <c r="F15" i="54" s="1"/>
  <c r="F15" i="47"/>
  <c r="F15" i="53" s="1"/>
  <c r="E15" i="47"/>
  <c r="F15" i="52" s="1"/>
  <c r="D15" i="47"/>
  <c r="F15" i="51" s="1"/>
  <c r="C15" i="47"/>
  <c r="F15" i="11" s="1"/>
  <c r="G14" i="47"/>
  <c r="F14" i="54" s="1"/>
  <c r="F14" i="47"/>
  <c r="F14" i="53" s="1"/>
  <c r="E14" i="47"/>
  <c r="F14" i="52" s="1"/>
  <c r="D14" i="47"/>
  <c r="F14" i="51" s="1"/>
  <c r="C14" i="47"/>
  <c r="F14" i="11" s="1"/>
  <c r="G13" i="47"/>
  <c r="F13" i="54" s="1"/>
  <c r="F13" i="47"/>
  <c r="F13" i="53" s="1"/>
  <c r="E13" i="47"/>
  <c r="F13" i="52" s="1"/>
  <c r="D13" i="47"/>
  <c r="F13" i="51" s="1"/>
  <c r="C13" i="47"/>
  <c r="F13" i="11" s="1"/>
  <c r="G12" i="47"/>
  <c r="F12" i="54" s="1"/>
  <c r="F12" i="47"/>
  <c r="F12" i="53" s="1"/>
  <c r="E12" i="47"/>
  <c r="F12" i="52" s="1"/>
  <c r="D12" i="47"/>
  <c r="F12" i="51" s="1"/>
  <c r="C12" i="47"/>
  <c r="F12" i="11" s="1"/>
  <c r="G11" i="47"/>
  <c r="F11" i="54" s="1"/>
  <c r="F11" i="47"/>
  <c r="F11" i="53" s="1"/>
  <c r="E11" i="47"/>
  <c r="F11" i="52" s="1"/>
  <c r="D11" i="47"/>
  <c r="F11" i="51" s="1"/>
  <c r="C11" i="47"/>
  <c r="F11" i="11" s="1"/>
  <c r="G10" i="47"/>
  <c r="F10" i="54" s="1"/>
  <c r="F10" i="47"/>
  <c r="F10" i="53" s="1"/>
  <c r="E10" i="47"/>
  <c r="F10" i="52" s="1"/>
  <c r="D10" i="47"/>
  <c r="F10" i="51" s="1"/>
  <c r="C10" i="47"/>
  <c r="F10" i="11" s="1"/>
  <c r="G9" i="47"/>
  <c r="F9" i="54" s="1"/>
  <c r="F9" i="47"/>
  <c r="F9" i="53" s="1"/>
  <c r="E9" i="47"/>
  <c r="F9" i="52" s="1"/>
  <c r="D9" i="47"/>
  <c r="F9" i="51" s="1"/>
  <c r="C9" i="47"/>
  <c r="F9" i="11" s="1"/>
  <c r="G58" i="46"/>
  <c r="G58" i="54" s="1"/>
  <c r="F58" i="46"/>
  <c r="G58" i="53" s="1"/>
  <c r="E58" i="46"/>
  <c r="G58" i="52" s="1"/>
  <c r="D58" i="46"/>
  <c r="G58" i="51" s="1"/>
  <c r="C58" i="46"/>
  <c r="G58" i="11" s="1"/>
  <c r="G57" i="46"/>
  <c r="G57" i="54" s="1"/>
  <c r="F57" i="46"/>
  <c r="G57" i="53" s="1"/>
  <c r="E57" i="46"/>
  <c r="G57" i="52" s="1"/>
  <c r="D57" i="46"/>
  <c r="G57" i="51" s="1"/>
  <c r="C57" i="46"/>
  <c r="G57" i="11" s="1"/>
  <c r="G56" i="46"/>
  <c r="G56" i="54" s="1"/>
  <c r="F56" i="46"/>
  <c r="G56" i="53" s="1"/>
  <c r="E56" i="46"/>
  <c r="G56" i="52" s="1"/>
  <c r="D56" i="46"/>
  <c r="G56" i="51" s="1"/>
  <c r="C56" i="46"/>
  <c r="G56" i="11" s="1"/>
  <c r="G55" i="46"/>
  <c r="G55" i="54" s="1"/>
  <c r="F55" i="46"/>
  <c r="G55" i="53" s="1"/>
  <c r="E55" i="46"/>
  <c r="G55" i="52" s="1"/>
  <c r="D55" i="46"/>
  <c r="G55" i="51" s="1"/>
  <c r="C55" i="46"/>
  <c r="G55" i="11" s="1"/>
  <c r="G54" i="46"/>
  <c r="G54" i="54" s="1"/>
  <c r="F54" i="46"/>
  <c r="G54" i="53" s="1"/>
  <c r="E54" i="46"/>
  <c r="G54" i="52" s="1"/>
  <c r="D54" i="46"/>
  <c r="G54" i="51" s="1"/>
  <c r="C54" i="46"/>
  <c r="G54" i="11" s="1"/>
  <c r="G53" i="46"/>
  <c r="G53" i="54" s="1"/>
  <c r="F53" i="46"/>
  <c r="G53" i="53" s="1"/>
  <c r="E53" i="46"/>
  <c r="G53" i="52" s="1"/>
  <c r="D53" i="46"/>
  <c r="G53" i="51" s="1"/>
  <c r="C53" i="46"/>
  <c r="G53" i="11" s="1"/>
  <c r="G52" i="46"/>
  <c r="G52" i="54" s="1"/>
  <c r="F52" i="46"/>
  <c r="G52" i="53" s="1"/>
  <c r="E52" i="46"/>
  <c r="G52" i="52" s="1"/>
  <c r="D52" i="46"/>
  <c r="G52" i="51" s="1"/>
  <c r="C52" i="46"/>
  <c r="G52" i="11" s="1"/>
  <c r="G51" i="46"/>
  <c r="G51" i="54" s="1"/>
  <c r="F51" i="46"/>
  <c r="G51" i="53" s="1"/>
  <c r="E51" i="46"/>
  <c r="G51" i="52" s="1"/>
  <c r="D51" i="46"/>
  <c r="G51" i="51" s="1"/>
  <c r="C51" i="46"/>
  <c r="G51" i="11" s="1"/>
  <c r="G50" i="46"/>
  <c r="G50" i="54" s="1"/>
  <c r="F50" i="46"/>
  <c r="G50" i="53" s="1"/>
  <c r="E50" i="46"/>
  <c r="G50" i="52" s="1"/>
  <c r="D50" i="46"/>
  <c r="G50" i="51" s="1"/>
  <c r="C50" i="46"/>
  <c r="G50" i="11" s="1"/>
  <c r="G49" i="46"/>
  <c r="G49" i="54" s="1"/>
  <c r="F49" i="46"/>
  <c r="G49" i="53" s="1"/>
  <c r="E49" i="46"/>
  <c r="G49" i="52" s="1"/>
  <c r="D49" i="46"/>
  <c r="G49" i="51" s="1"/>
  <c r="C49" i="46"/>
  <c r="G49" i="11" s="1"/>
  <c r="G48" i="46"/>
  <c r="G48" i="54" s="1"/>
  <c r="F48" i="46"/>
  <c r="G48" i="53" s="1"/>
  <c r="E48" i="46"/>
  <c r="G48" i="52" s="1"/>
  <c r="D48" i="46"/>
  <c r="G48" i="51" s="1"/>
  <c r="C48" i="46"/>
  <c r="G48" i="11" s="1"/>
  <c r="G47" i="46"/>
  <c r="G47" i="54" s="1"/>
  <c r="F47" i="46"/>
  <c r="G47" i="53" s="1"/>
  <c r="E47" i="46"/>
  <c r="G47" i="52" s="1"/>
  <c r="D47" i="46"/>
  <c r="G47" i="51" s="1"/>
  <c r="C47" i="46"/>
  <c r="G47" i="11" s="1"/>
  <c r="G46" i="46"/>
  <c r="G46" i="54" s="1"/>
  <c r="F46" i="46"/>
  <c r="G46" i="53" s="1"/>
  <c r="E46" i="46"/>
  <c r="G46" i="52" s="1"/>
  <c r="D46" i="46"/>
  <c r="G46" i="51" s="1"/>
  <c r="C46" i="46"/>
  <c r="G46" i="11" s="1"/>
  <c r="G45" i="46"/>
  <c r="G45" i="54" s="1"/>
  <c r="F45" i="46"/>
  <c r="G45" i="53" s="1"/>
  <c r="E45" i="46"/>
  <c r="G45" i="52" s="1"/>
  <c r="D45" i="46"/>
  <c r="G45" i="51" s="1"/>
  <c r="C45" i="46"/>
  <c r="G45" i="11" s="1"/>
  <c r="G44" i="46"/>
  <c r="G44" i="54" s="1"/>
  <c r="F44" i="46"/>
  <c r="G44" i="53" s="1"/>
  <c r="E44" i="46"/>
  <c r="G44" i="52" s="1"/>
  <c r="D44" i="46"/>
  <c r="G44" i="51" s="1"/>
  <c r="C44" i="46"/>
  <c r="G44" i="11" s="1"/>
  <c r="G43" i="46"/>
  <c r="G43" i="54" s="1"/>
  <c r="F43" i="46"/>
  <c r="G43" i="53" s="1"/>
  <c r="E43" i="46"/>
  <c r="G43" i="52" s="1"/>
  <c r="D43" i="46"/>
  <c r="G43" i="51" s="1"/>
  <c r="C43" i="46"/>
  <c r="G43" i="11" s="1"/>
  <c r="G42" i="46"/>
  <c r="G42" i="54" s="1"/>
  <c r="F42" i="46"/>
  <c r="G42" i="53" s="1"/>
  <c r="E42" i="46"/>
  <c r="G42" i="52" s="1"/>
  <c r="D42" i="46"/>
  <c r="G42" i="51" s="1"/>
  <c r="C42" i="46"/>
  <c r="G42" i="11" s="1"/>
  <c r="G41" i="46"/>
  <c r="G41" i="54" s="1"/>
  <c r="F41" i="46"/>
  <c r="G41" i="53" s="1"/>
  <c r="E41" i="46"/>
  <c r="G41" i="52" s="1"/>
  <c r="D41" i="46"/>
  <c r="G41" i="51" s="1"/>
  <c r="C41" i="46"/>
  <c r="G41" i="11" s="1"/>
  <c r="G40" i="46"/>
  <c r="G40" i="54" s="1"/>
  <c r="F40" i="46"/>
  <c r="G40" i="53" s="1"/>
  <c r="E40" i="46"/>
  <c r="G40" i="52" s="1"/>
  <c r="D40" i="46"/>
  <c r="G40" i="51" s="1"/>
  <c r="C40" i="46"/>
  <c r="G40" i="11" s="1"/>
  <c r="G39" i="46"/>
  <c r="G39" i="54" s="1"/>
  <c r="F39" i="46"/>
  <c r="G39" i="53" s="1"/>
  <c r="E39" i="46"/>
  <c r="G39" i="52" s="1"/>
  <c r="D39" i="46"/>
  <c r="G39" i="51" s="1"/>
  <c r="C39" i="46"/>
  <c r="G39" i="11" s="1"/>
  <c r="G38" i="46"/>
  <c r="G38" i="54" s="1"/>
  <c r="F38" i="46"/>
  <c r="G38" i="53" s="1"/>
  <c r="E38" i="46"/>
  <c r="G38" i="52" s="1"/>
  <c r="D38" i="46"/>
  <c r="G38" i="51" s="1"/>
  <c r="C38" i="46"/>
  <c r="G38" i="11" s="1"/>
  <c r="G37" i="46"/>
  <c r="G37" i="54" s="1"/>
  <c r="F37" i="46"/>
  <c r="G37" i="53" s="1"/>
  <c r="E37" i="46"/>
  <c r="G37" i="52" s="1"/>
  <c r="D37" i="46"/>
  <c r="G37" i="51" s="1"/>
  <c r="C37" i="46"/>
  <c r="G37" i="11" s="1"/>
  <c r="G36" i="46"/>
  <c r="G36" i="54" s="1"/>
  <c r="F36" i="46"/>
  <c r="G36" i="53" s="1"/>
  <c r="E36" i="46"/>
  <c r="G36" i="52" s="1"/>
  <c r="D36" i="46"/>
  <c r="G36" i="51" s="1"/>
  <c r="C36" i="46"/>
  <c r="G36" i="11" s="1"/>
  <c r="G35" i="46"/>
  <c r="G35" i="54" s="1"/>
  <c r="F35" i="46"/>
  <c r="G35" i="53" s="1"/>
  <c r="E35" i="46"/>
  <c r="G35" i="52" s="1"/>
  <c r="D35" i="46"/>
  <c r="G35" i="51" s="1"/>
  <c r="C35" i="46"/>
  <c r="G35" i="11" s="1"/>
  <c r="G34" i="46"/>
  <c r="G34" i="54" s="1"/>
  <c r="F34" i="46"/>
  <c r="G34" i="53" s="1"/>
  <c r="E34" i="46"/>
  <c r="G34" i="52" s="1"/>
  <c r="D34" i="46"/>
  <c r="G34" i="51" s="1"/>
  <c r="C34" i="46"/>
  <c r="G34" i="11" s="1"/>
  <c r="G33" i="46"/>
  <c r="G33" i="54" s="1"/>
  <c r="F33" i="46"/>
  <c r="G33" i="53" s="1"/>
  <c r="E33" i="46"/>
  <c r="G33" i="52" s="1"/>
  <c r="D33" i="46"/>
  <c r="G33" i="51" s="1"/>
  <c r="C33" i="46"/>
  <c r="G33" i="11" s="1"/>
  <c r="G32" i="46"/>
  <c r="G32" i="54" s="1"/>
  <c r="F32" i="46"/>
  <c r="G32" i="53" s="1"/>
  <c r="E32" i="46"/>
  <c r="G32" i="52" s="1"/>
  <c r="D32" i="46"/>
  <c r="G32" i="51" s="1"/>
  <c r="C32" i="46"/>
  <c r="G32" i="11" s="1"/>
  <c r="G31" i="46"/>
  <c r="G31" i="54" s="1"/>
  <c r="F31" i="46"/>
  <c r="G31" i="53" s="1"/>
  <c r="E31" i="46"/>
  <c r="G31" i="52" s="1"/>
  <c r="D31" i="46"/>
  <c r="G31" i="51" s="1"/>
  <c r="C31" i="46"/>
  <c r="G31" i="11" s="1"/>
  <c r="G30" i="46"/>
  <c r="G30" i="54" s="1"/>
  <c r="F30" i="46"/>
  <c r="G30" i="53" s="1"/>
  <c r="E30" i="46"/>
  <c r="G30" i="52" s="1"/>
  <c r="D30" i="46"/>
  <c r="G30" i="51" s="1"/>
  <c r="C30" i="46"/>
  <c r="G30" i="11" s="1"/>
  <c r="G29" i="46"/>
  <c r="G29" i="54" s="1"/>
  <c r="F29" i="46"/>
  <c r="G29" i="53" s="1"/>
  <c r="E29" i="46"/>
  <c r="G29" i="52" s="1"/>
  <c r="D29" i="46"/>
  <c r="G29" i="51" s="1"/>
  <c r="C29" i="46"/>
  <c r="G29" i="11" s="1"/>
  <c r="G28" i="46"/>
  <c r="G28" i="54" s="1"/>
  <c r="F28" i="46"/>
  <c r="G28" i="53" s="1"/>
  <c r="E28" i="46"/>
  <c r="G28" i="52" s="1"/>
  <c r="D28" i="46"/>
  <c r="G28" i="51" s="1"/>
  <c r="C28" i="46"/>
  <c r="G28" i="11" s="1"/>
  <c r="G27" i="46"/>
  <c r="G27" i="54" s="1"/>
  <c r="F27" i="46"/>
  <c r="G27" i="53" s="1"/>
  <c r="E27" i="46"/>
  <c r="G27" i="52" s="1"/>
  <c r="D27" i="46"/>
  <c r="G27" i="51" s="1"/>
  <c r="C27" i="46"/>
  <c r="G27" i="11" s="1"/>
  <c r="G26" i="46"/>
  <c r="G26" i="54" s="1"/>
  <c r="F26" i="46"/>
  <c r="G26" i="53" s="1"/>
  <c r="E26" i="46"/>
  <c r="G26" i="52" s="1"/>
  <c r="D26" i="46"/>
  <c r="G26" i="51" s="1"/>
  <c r="C26" i="46"/>
  <c r="G26" i="11" s="1"/>
  <c r="G25" i="46"/>
  <c r="G25" i="54" s="1"/>
  <c r="F25" i="46"/>
  <c r="G25" i="53" s="1"/>
  <c r="E25" i="46"/>
  <c r="G25" i="52" s="1"/>
  <c r="D25" i="46"/>
  <c r="G25" i="51" s="1"/>
  <c r="C25" i="46"/>
  <c r="G25" i="11" s="1"/>
  <c r="G24" i="46"/>
  <c r="G24" i="54" s="1"/>
  <c r="F24" i="46"/>
  <c r="G24" i="53" s="1"/>
  <c r="E24" i="46"/>
  <c r="G24" i="52" s="1"/>
  <c r="D24" i="46"/>
  <c r="G24" i="51" s="1"/>
  <c r="C24" i="46"/>
  <c r="G24" i="11" s="1"/>
  <c r="G23" i="46"/>
  <c r="G23" i="54" s="1"/>
  <c r="F23" i="46"/>
  <c r="G23" i="53" s="1"/>
  <c r="E23" i="46"/>
  <c r="G23" i="52" s="1"/>
  <c r="D23" i="46"/>
  <c r="G23" i="51" s="1"/>
  <c r="C23" i="46"/>
  <c r="G23" i="11" s="1"/>
  <c r="G22" i="46"/>
  <c r="G22" i="54" s="1"/>
  <c r="F22" i="46"/>
  <c r="G22" i="53" s="1"/>
  <c r="E22" i="46"/>
  <c r="G22" i="52" s="1"/>
  <c r="D22" i="46"/>
  <c r="G22" i="51" s="1"/>
  <c r="C22" i="46"/>
  <c r="G22" i="11" s="1"/>
  <c r="G21" i="46"/>
  <c r="G21" i="54" s="1"/>
  <c r="F21" i="46"/>
  <c r="G21" i="53" s="1"/>
  <c r="E21" i="46"/>
  <c r="G21" i="52" s="1"/>
  <c r="D21" i="46"/>
  <c r="G21" i="51" s="1"/>
  <c r="C21" i="46"/>
  <c r="G21" i="11" s="1"/>
  <c r="G20" i="46"/>
  <c r="G20" i="54" s="1"/>
  <c r="F20" i="46"/>
  <c r="G20" i="53" s="1"/>
  <c r="E20" i="46"/>
  <c r="G20" i="52" s="1"/>
  <c r="D20" i="46"/>
  <c r="G20" i="51" s="1"/>
  <c r="C20" i="46"/>
  <c r="G20" i="11" s="1"/>
  <c r="G19" i="46"/>
  <c r="G19" i="54" s="1"/>
  <c r="F19" i="46"/>
  <c r="G19" i="53" s="1"/>
  <c r="E19" i="46"/>
  <c r="G19" i="52" s="1"/>
  <c r="D19" i="46"/>
  <c r="G19" i="51" s="1"/>
  <c r="C19" i="46"/>
  <c r="G19" i="11" s="1"/>
  <c r="G18" i="46"/>
  <c r="G18" i="54" s="1"/>
  <c r="F18" i="46"/>
  <c r="G18" i="53" s="1"/>
  <c r="E18" i="46"/>
  <c r="G18" i="52" s="1"/>
  <c r="D18" i="46"/>
  <c r="G18" i="51" s="1"/>
  <c r="C18" i="46"/>
  <c r="G18" i="11" s="1"/>
  <c r="G17" i="46"/>
  <c r="G17" i="54" s="1"/>
  <c r="F17" i="46"/>
  <c r="G17" i="53" s="1"/>
  <c r="E17" i="46"/>
  <c r="G17" i="52" s="1"/>
  <c r="D17" i="46"/>
  <c r="G17" i="51" s="1"/>
  <c r="C17" i="46"/>
  <c r="G17" i="11" s="1"/>
  <c r="G16" i="46"/>
  <c r="G16" i="54" s="1"/>
  <c r="F16" i="46"/>
  <c r="G16" i="53" s="1"/>
  <c r="E16" i="46"/>
  <c r="G16" i="52" s="1"/>
  <c r="D16" i="46"/>
  <c r="G16" i="51" s="1"/>
  <c r="C16" i="46"/>
  <c r="G16" i="11" s="1"/>
  <c r="G15" i="46"/>
  <c r="G15" i="54" s="1"/>
  <c r="F15" i="46"/>
  <c r="G15" i="53" s="1"/>
  <c r="E15" i="46"/>
  <c r="G15" i="52" s="1"/>
  <c r="D15" i="46"/>
  <c r="G15" i="51" s="1"/>
  <c r="C15" i="46"/>
  <c r="G15" i="11" s="1"/>
  <c r="G14" i="46"/>
  <c r="G14" i="54" s="1"/>
  <c r="F14" i="46"/>
  <c r="G14" i="53" s="1"/>
  <c r="E14" i="46"/>
  <c r="G14" i="52" s="1"/>
  <c r="D14" i="46"/>
  <c r="G14" i="51" s="1"/>
  <c r="C14" i="46"/>
  <c r="G14" i="11" s="1"/>
  <c r="G13" i="46"/>
  <c r="G13" i="54" s="1"/>
  <c r="F13" i="46"/>
  <c r="G13" i="53" s="1"/>
  <c r="E13" i="46"/>
  <c r="G13" i="52" s="1"/>
  <c r="D13" i="46"/>
  <c r="G13" i="51" s="1"/>
  <c r="C13" i="46"/>
  <c r="G13" i="11" s="1"/>
  <c r="G12" i="46"/>
  <c r="G12" i="54" s="1"/>
  <c r="F12" i="46"/>
  <c r="G12" i="53" s="1"/>
  <c r="E12" i="46"/>
  <c r="G12" i="52" s="1"/>
  <c r="D12" i="46"/>
  <c r="G12" i="51" s="1"/>
  <c r="C12" i="46"/>
  <c r="G12" i="11" s="1"/>
  <c r="G11" i="46"/>
  <c r="G11" i="54" s="1"/>
  <c r="F11" i="46"/>
  <c r="G11" i="53" s="1"/>
  <c r="E11" i="46"/>
  <c r="G11" i="52" s="1"/>
  <c r="D11" i="46"/>
  <c r="G11" i="51" s="1"/>
  <c r="C11" i="46"/>
  <c r="G11" i="11" s="1"/>
  <c r="G10" i="46"/>
  <c r="G10" i="54" s="1"/>
  <c r="F10" i="46"/>
  <c r="G10" i="53" s="1"/>
  <c r="E10" i="46"/>
  <c r="G10" i="52" s="1"/>
  <c r="D10" i="46"/>
  <c r="G10" i="51" s="1"/>
  <c r="C10" i="46"/>
  <c r="G10" i="11" s="1"/>
  <c r="G9" i="46"/>
  <c r="G9" i="54" s="1"/>
  <c r="F9" i="46"/>
  <c r="G9" i="53" s="1"/>
  <c r="E9" i="46"/>
  <c r="G9" i="52" s="1"/>
  <c r="D9" i="46"/>
  <c r="G9" i="51" s="1"/>
  <c r="C9" i="46"/>
  <c r="G9" i="11" s="1"/>
  <c r="G58" i="45"/>
  <c r="H58" i="54" s="1"/>
  <c r="F58" i="45"/>
  <c r="H58" i="53" s="1"/>
  <c r="E58" i="45"/>
  <c r="H58" i="52" s="1"/>
  <c r="D58" i="45"/>
  <c r="H58" i="51" s="1"/>
  <c r="C58" i="45"/>
  <c r="H58" i="11" s="1"/>
  <c r="G57" i="45"/>
  <c r="H57" i="54" s="1"/>
  <c r="F57" i="45"/>
  <c r="H57" i="53" s="1"/>
  <c r="E57" i="45"/>
  <c r="H57" i="52" s="1"/>
  <c r="D57" i="45"/>
  <c r="H57" i="51" s="1"/>
  <c r="C57" i="45"/>
  <c r="H57" i="11" s="1"/>
  <c r="G56" i="45"/>
  <c r="H56" i="54" s="1"/>
  <c r="F56" i="45"/>
  <c r="H56" i="53" s="1"/>
  <c r="E56" i="45"/>
  <c r="H56" i="52" s="1"/>
  <c r="D56" i="45"/>
  <c r="H56" i="51" s="1"/>
  <c r="C56" i="45"/>
  <c r="H56" i="11" s="1"/>
  <c r="G55" i="45"/>
  <c r="H55" i="54" s="1"/>
  <c r="F55" i="45"/>
  <c r="H55" i="53" s="1"/>
  <c r="E55" i="45"/>
  <c r="H55" i="52" s="1"/>
  <c r="D55" i="45"/>
  <c r="H55" i="51" s="1"/>
  <c r="C55" i="45"/>
  <c r="H55" i="11" s="1"/>
  <c r="G54" i="45"/>
  <c r="H54" i="54" s="1"/>
  <c r="F54" i="45"/>
  <c r="H54" i="53" s="1"/>
  <c r="E54" i="45"/>
  <c r="H54" i="52" s="1"/>
  <c r="D54" i="45"/>
  <c r="H54" i="51" s="1"/>
  <c r="C54" i="45"/>
  <c r="H54" i="11" s="1"/>
  <c r="G53" i="45"/>
  <c r="H53" i="54" s="1"/>
  <c r="F53" i="45"/>
  <c r="H53" i="53" s="1"/>
  <c r="E53" i="45"/>
  <c r="H53" i="52" s="1"/>
  <c r="D53" i="45"/>
  <c r="H53" i="51" s="1"/>
  <c r="C53" i="45"/>
  <c r="H53" i="11" s="1"/>
  <c r="G52" i="45"/>
  <c r="H52" i="54" s="1"/>
  <c r="F52" i="45"/>
  <c r="H52" i="53" s="1"/>
  <c r="E52" i="45"/>
  <c r="H52" i="52" s="1"/>
  <c r="D52" i="45"/>
  <c r="H52" i="51" s="1"/>
  <c r="C52" i="45"/>
  <c r="H52" i="11" s="1"/>
  <c r="G51" i="45"/>
  <c r="H51" i="54" s="1"/>
  <c r="F51" i="45"/>
  <c r="H51" i="53" s="1"/>
  <c r="E51" i="45"/>
  <c r="H51" i="52" s="1"/>
  <c r="D51" i="45"/>
  <c r="H51" i="51" s="1"/>
  <c r="C51" i="45"/>
  <c r="H51" i="11" s="1"/>
  <c r="G50" i="45"/>
  <c r="H50" i="54" s="1"/>
  <c r="F50" i="45"/>
  <c r="H50" i="53" s="1"/>
  <c r="E50" i="45"/>
  <c r="H50" i="52" s="1"/>
  <c r="D50" i="45"/>
  <c r="H50" i="51" s="1"/>
  <c r="C50" i="45"/>
  <c r="H50" i="11" s="1"/>
  <c r="G49" i="45"/>
  <c r="H49" i="54" s="1"/>
  <c r="F49" i="45"/>
  <c r="H49" i="53" s="1"/>
  <c r="E49" i="45"/>
  <c r="H49" i="52" s="1"/>
  <c r="D49" i="45"/>
  <c r="H49" i="51" s="1"/>
  <c r="C49" i="45"/>
  <c r="H49" i="11" s="1"/>
  <c r="G48" i="45"/>
  <c r="H48" i="54" s="1"/>
  <c r="F48" i="45"/>
  <c r="H48" i="53" s="1"/>
  <c r="E48" i="45"/>
  <c r="H48" i="52" s="1"/>
  <c r="D48" i="45"/>
  <c r="H48" i="51" s="1"/>
  <c r="C48" i="45"/>
  <c r="H48" i="11" s="1"/>
  <c r="G47" i="45"/>
  <c r="H47" i="54" s="1"/>
  <c r="F47" i="45"/>
  <c r="H47" i="53" s="1"/>
  <c r="E47" i="45"/>
  <c r="H47" i="52" s="1"/>
  <c r="D47" i="45"/>
  <c r="H47" i="51" s="1"/>
  <c r="C47" i="45"/>
  <c r="H47" i="11" s="1"/>
  <c r="G46" i="45"/>
  <c r="H46" i="54" s="1"/>
  <c r="F46" i="45"/>
  <c r="H46" i="53" s="1"/>
  <c r="E46" i="45"/>
  <c r="H46" i="52" s="1"/>
  <c r="D46" i="45"/>
  <c r="H46" i="51" s="1"/>
  <c r="C46" i="45"/>
  <c r="H46" i="11" s="1"/>
  <c r="G45" i="45"/>
  <c r="H45" i="54" s="1"/>
  <c r="F45" i="45"/>
  <c r="H45" i="53" s="1"/>
  <c r="E45" i="45"/>
  <c r="H45" i="52" s="1"/>
  <c r="D45" i="45"/>
  <c r="H45" i="51" s="1"/>
  <c r="C45" i="45"/>
  <c r="H45" i="11" s="1"/>
  <c r="G44" i="45"/>
  <c r="H44" i="54" s="1"/>
  <c r="F44" i="45"/>
  <c r="H44" i="53" s="1"/>
  <c r="E44" i="45"/>
  <c r="H44" i="52" s="1"/>
  <c r="D44" i="45"/>
  <c r="H44" i="51" s="1"/>
  <c r="C44" i="45"/>
  <c r="H44" i="11" s="1"/>
  <c r="G43" i="45"/>
  <c r="H43" i="54" s="1"/>
  <c r="F43" i="45"/>
  <c r="H43" i="53" s="1"/>
  <c r="E43" i="45"/>
  <c r="H43" i="52" s="1"/>
  <c r="D43" i="45"/>
  <c r="H43" i="51" s="1"/>
  <c r="C43" i="45"/>
  <c r="H43" i="11" s="1"/>
  <c r="G42" i="45"/>
  <c r="H42" i="54" s="1"/>
  <c r="F42" i="45"/>
  <c r="H42" i="53" s="1"/>
  <c r="E42" i="45"/>
  <c r="H42" i="52" s="1"/>
  <c r="D42" i="45"/>
  <c r="H42" i="51" s="1"/>
  <c r="C42" i="45"/>
  <c r="H42" i="11" s="1"/>
  <c r="G41" i="45"/>
  <c r="H41" i="54" s="1"/>
  <c r="F41" i="45"/>
  <c r="H41" i="53" s="1"/>
  <c r="E41" i="45"/>
  <c r="H41" i="52" s="1"/>
  <c r="D41" i="45"/>
  <c r="H41" i="51" s="1"/>
  <c r="C41" i="45"/>
  <c r="H41" i="11" s="1"/>
  <c r="G40" i="45"/>
  <c r="H40" i="54" s="1"/>
  <c r="F40" i="45"/>
  <c r="H40" i="53" s="1"/>
  <c r="E40" i="45"/>
  <c r="H40" i="52" s="1"/>
  <c r="D40" i="45"/>
  <c r="H40" i="51" s="1"/>
  <c r="C40" i="45"/>
  <c r="H40" i="11" s="1"/>
  <c r="G39" i="45"/>
  <c r="H39" i="54" s="1"/>
  <c r="F39" i="45"/>
  <c r="H39" i="53" s="1"/>
  <c r="E39" i="45"/>
  <c r="H39" i="52" s="1"/>
  <c r="D39" i="45"/>
  <c r="H39" i="51" s="1"/>
  <c r="C39" i="45"/>
  <c r="H39" i="11" s="1"/>
  <c r="G38" i="45"/>
  <c r="H38" i="54" s="1"/>
  <c r="F38" i="45"/>
  <c r="H38" i="53" s="1"/>
  <c r="E38" i="45"/>
  <c r="H38" i="52" s="1"/>
  <c r="D38" i="45"/>
  <c r="H38" i="51" s="1"/>
  <c r="C38" i="45"/>
  <c r="H38" i="11" s="1"/>
  <c r="G37" i="45"/>
  <c r="H37" i="54" s="1"/>
  <c r="F37" i="45"/>
  <c r="H37" i="53" s="1"/>
  <c r="E37" i="45"/>
  <c r="H37" i="52" s="1"/>
  <c r="D37" i="45"/>
  <c r="H37" i="51" s="1"/>
  <c r="C37" i="45"/>
  <c r="H37" i="11" s="1"/>
  <c r="G36" i="45"/>
  <c r="H36" i="54" s="1"/>
  <c r="F36" i="45"/>
  <c r="H36" i="53" s="1"/>
  <c r="E36" i="45"/>
  <c r="H36" i="52" s="1"/>
  <c r="D36" i="45"/>
  <c r="H36" i="51" s="1"/>
  <c r="C36" i="45"/>
  <c r="H36" i="11" s="1"/>
  <c r="G35" i="45"/>
  <c r="H35" i="54" s="1"/>
  <c r="F35" i="45"/>
  <c r="H35" i="53" s="1"/>
  <c r="E35" i="45"/>
  <c r="H35" i="52" s="1"/>
  <c r="D35" i="45"/>
  <c r="H35" i="51" s="1"/>
  <c r="C35" i="45"/>
  <c r="H35" i="11" s="1"/>
  <c r="G34" i="45"/>
  <c r="H34" i="54" s="1"/>
  <c r="F34" i="45"/>
  <c r="H34" i="53" s="1"/>
  <c r="E34" i="45"/>
  <c r="H34" i="52" s="1"/>
  <c r="D34" i="45"/>
  <c r="H34" i="51" s="1"/>
  <c r="C34" i="45"/>
  <c r="H34" i="11" s="1"/>
  <c r="G33" i="45"/>
  <c r="H33" i="54" s="1"/>
  <c r="F33" i="45"/>
  <c r="H33" i="53" s="1"/>
  <c r="E33" i="45"/>
  <c r="H33" i="52" s="1"/>
  <c r="D33" i="45"/>
  <c r="H33" i="51" s="1"/>
  <c r="C33" i="45"/>
  <c r="H33" i="11" s="1"/>
  <c r="G32" i="45"/>
  <c r="H32" i="54" s="1"/>
  <c r="F32" i="45"/>
  <c r="H32" i="53" s="1"/>
  <c r="E32" i="45"/>
  <c r="H32" i="52" s="1"/>
  <c r="D32" i="45"/>
  <c r="H32" i="51" s="1"/>
  <c r="C32" i="45"/>
  <c r="H32" i="11" s="1"/>
  <c r="G31" i="45"/>
  <c r="H31" i="54" s="1"/>
  <c r="F31" i="45"/>
  <c r="H31" i="53" s="1"/>
  <c r="E31" i="45"/>
  <c r="H31" i="52" s="1"/>
  <c r="D31" i="45"/>
  <c r="H31" i="51" s="1"/>
  <c r="C31" i="45"/>
  <c r="H31" i="11" s="1"/>
  <c r="G30" i="45"/>
  <c r="H30" i="54" s="1"/>
  <c r="F30" i="45"/>
  <c r="H30" i="53" s="1"/>
  <c r="E30" i="45"/>
  <c r="H30" i="52" s="1"/>
  <c r="D30" i="45"/>
  <c r="H30" i="51" s="1"/>
  <c r="C30" i="45"/>
  <c r="H30" i="11" s="1"/>
  <c r="G29" i="45"/>
  <c r="H29" i="54" s="1"/>
  <c r="F29" i="45"/>
  <c r="H29" i="53" s="1"/>
  <c r="E29" i="45"/>
  <c r="H29" i="52" s="1"/>
  <c r="D29" i="45"/>
  <c r="H29" i="51" s="1"/>
  <c r="C29" i="45"/>
  <c r="H29" i="11" s="1"/>
  <c r="G28" i="45"/>
  <c r="H28" i="54" s="1"/>
  <c r="F28" i="45"/>
  <c r="H28" i="53" s="1"/>
  <c r="E28" i="45"/>
  <c r="H28" i="52" s="1"/>
  <c r="D28" i="45"/>
  <c r="H28" i="51" s="1"/>
  <c r="C28" i="45"/>
  <c r="H28" i="11" s="1"/>
  <c r="G27" i="45"/>
  <c r="H27" i="54" s="1"/>
  <c r="F27" i="45"/>
  <c r="H27" i="53" s="1"/>
  <c r="E27" i="45"/>
  <c r="H27" i="52" s="1"/>
  <c r="D27" i="45"/>
  <c r="H27" i="51" s="1"/>
  <c r="C27" i="45"/>
  <c r="H27" i="11" s="1"/>
  <c r="G26" i="45"/>
  <c r="H26" i="54" s="1"/>
  <c r="F26" i="45"/>
  <c r="H26" i="53" s="1"/>
  <c r="E26" i="45"/>
  <c r="H26" i="52" s="1"/>
  <c r="D26" i="45"/>
  <c r="H26" i="51" s="1"/>
  <c r="C26" i="45"/>
  <c r="H26" i="11" s="1"/>
  <c r="G25" i="45"/>
  <c r="H25" i="54" s="1"/>
  <c r="F25" i="45"/>
  <c r="H25" i="53" s="1"/>
  <c r="E25" i="45"/>
  <c r="H25" i="52" s="1"/>
  <c r="D25" i="45"/>
  <c r="H25" i="51" s="1"/>
  <c r="C25" i="45"/>
  <c r="H25" i="11" s="1"/>
  <c r="G24" i="45"/>
  <c r="H24" i="54" s="1"/>
  <c r="F24" i="45"/>
  <c r="H24" i="53" s="1"/>
  <c r="E24" i="45"/>
  <c r="H24" i="52" s="1"/>
  <c r="D24" i="45"/>
  <c r="H24" i="51" s="1"/>
  <c r="C24" i="45"/>
  <c r="H24" i="11" s="1"/>
  <c r="G23" i="45"/>
  <c r="H23" i="54" s="1"/>
  <c r="F23" i="45"/>
  <c r="H23" i="53" s="1"/>
  <c r="E23" i="45"/>
  <c r="H23" i="52" s="1"/>
  <c r="D23" i="45"/>
  <c r="H23" i="51" s="1"/>
  <c r="C23" i="45"/>
  <c r="H23" i="11" s="1"/>
  <c r="G22" i="45"/>
  <c r="H22" i="54" s="1"/>
  <c r="F22" i="45"/>
  <c r="H22" i="53" s="1"/>
  <c r="E22" i="45"/>
  <c r="H22" i="52" s="1"/>
  <c r="D22" i="45"/>
  <c r="H22" i="51" s="1"/>
  <c r="C22" i="45"/>
  <c r="H22" i="11" s="1"/>
  <c r="G21" i="45"/>
  <c r="H21" i="54" s="1"/>
  <c r="F21" i="45"/>
  <c r="H21" i="53" s="1"/>
  <c r="E21" i="45"/>
  <c r="H21" i="52" s="1"/>
  <c r="D21" i="45"/>
  <c r="H21" i="51" s="1"/>
  <c r="C21" i="45"/>
  <c r="H21" i="11" s="1"/>
  <c r="G20" i="45"/>
  <c r="H20" i="54" s="1"/>
  <c r="F20" i="45"/>
  <c r="H20" i="53" s="1"/>
  <c r="E20" i="45"/>
  <c r="H20" i="52" s="1"/>
  <c r="D20" i="45"/>
  <c r="H20" i="51" s="1"/>
  <c r="C20" i="45"/>
  <c r="H20" i="11" s="1"/>
  <c r="G19" i="45"/>
  <c r="H19" i="54" s="1"/>
  <c r="F19" i="45"/>
  <c r="H19" i="53" s="1"/>
  <c r="E19" i="45"/>
  <c r="H19" i="52" s="1"/>
  <c r="D19" i="45"/>
  <c r="H19" i="51" s="1"/>
  <c r="C19" i="45"/>
  <c r="H19" i="11" s="1"/>
  <c r="G18" i="45"/>
  <c r="H18" i="54" s="1"/>
  <c r="F18" i="45"/>
  <c r="H18" i="53" s="1"/>
  <c r="E18" i="45"/>
  <c r="H18" i="52" s="1"/>
  <c r="D18" i="45"/>
  <c r="H18" i="51" s="1"/>
  <c r="C18" i="45"/>
  <c r="H18" i="11" s="1"/>
  <c r="G17" i="45"/>
  <c r="H17" i="54" s="1"/>
  <c r="F17" i="45"/>
  <c r="H17" i="53" s="1"/>
  <c r="E17" i="45"/>
  <c r="H17" i="52" s="1"/>
  <c r="D17" i="45"/>
  <c r="H17" i="51" s="1"/>
  <c r="C17" i="45"/>
  <c r="H17" i="11" s="1"/>
  <c r="G16" i="45"/>
  <c r="H16" i="54" s="1"/>
  <c r="F16" i="45"/>
  <c r="H16" i="53" s="1"/>
  <c r="E16" i="45"/>
  <c r="H16" i="52" s="1"/>
  <c r="D16" i="45"/>
  <c r="H16" i="51" s="1"/>
  <c r="C16" i="45"/>
  <c r="H16" i="11" s="1"/>
  <c r="G15" i="45"/>
  <c r="H15" i="54" s="1"/>
  <c r="F15" i="45"/>
  <c r="H15" i="53" s="1"/>
  <c r="E15" i="45"/>
  <c r="H15" i="52" s="1"/>
  <c r="D15" i="45"/>
  <c r="H15" i="51" s="1"/>
  <c r="C15" i="45"/>
  <c r="H15" i="11" s="1"/>
  <c r="G14" i="45"/>
  <c r="H14" i="54" s="1"/>
  <c r="F14" i="45"/>
  <c r="H14" i="53" s="1"/>
  <c r="E14" i="45"/>
  <c r="H14" i="52" s="1"/>
  <c r="D14" i="45"/>
  <c r="H14" i="51" s="1"/>
  <c r="C14" i="45"/>
  <c r="H14" i="11" s="1"/>
  <c r="G13" i="45"/>
  <c r="H13" i="54" s="1"/>
  <c r="F13" i="45"/>
  <c r="H13" i="53" s="1"/>
  <c r="E13" i="45"/>
  <c r="H13" i="52" s="1"/>
  <c r="D13" i="45"/>
  <c r="H13" i="51" s="1"/>
  <c r="C13" i="45"/>
  <c r="H13" i="11" s="1"/>
  <c r="G12" i="45"/>
  <c r="H12" i="54" s="1"/>
  <c r="F12" i="45"/>
  <c r="H12" i="53" s="1"/>
  <c r="E12" i="45"/>
  <c r="H12" i="52" s="1"/>
  <c r="D12" i="45"/>
  <c r="H12" i="51" s="1"/>
  <c r="C12" i="45"/>
  <c r="H12" i="11" s="1"/>
  <c r="G11" i="45"/>
  <c r="H11" i="54" s="1"/>
  <c r="F11" i="45"/>
  <c r="H11" i="53" s="1"/>
  <c r="E11" i="45"/>
  <c r="H11" i="52" s="1"/>
  <c r="D11" i="45"/>
  <c r="H11" i="51" s="1"/>
  <c r="C11" i="45"/>
  <c r="H11" i="11" s="1"/>
  <c r="G10" i="45"/>
  <c r="H10" i="54" s="1"/>
  <c r="F10" i="45"/>
  <c r="H10" i="53" s="1"/>
  <c r="E10" i="45"/>
  <c r="H10" i="52" s="1"/>
  <c r="D10" i="45"/>
  <c r="H10" i="51" s="1"/>
  <c r="C10" i="45"/>
  <c r="H10" i="11" s="1"/>
  <c r="G9" i="45"/>
  <c r="H9" i="54" s="1"/>
  <c r="F9" i="45"/>
  <c r="H9" i="53" s="1"/>
  <c r="E9" i="45"/>
  <c r="H9" i="52" s="1"/>
  <c r="D9" i="45"/>
  <c r="H9" i="51" s="1"/>
  <c r="C9" i="45"/>
  <c r="H9" i="11" s="1"/>
  <c r="G58" i="44"/>
  <c r="I58" i="54" s="1"/>
  <c r="F58" i="44"/>
  <c r="I58" i="53" s="1"/>
  <c r="E58" i="44"/>
  <c r="I58" i="52" s="1"/>
  <c r="D58" i="44"/>
  <c r="I58" i="51" s="1"/>
  <c r="C58" i="44"/>
  <c r="I58" i="11" s="1"/>
  <c r="G57" i="44"/>
  <c r="I57" i="54" s="1"/>
  <c r="F57" i="44"/>
  <c r="I57" i="53" s="1"/>
  <c r="E57" i="44"/>
  <c r="I57" i="52" s="1"/>
  <c r="D57" i="44"/>
  <c r="I57" i="51" s="1"/>
  <c r="C57" i="44"/>
  <c r="I57" i="11" s="1"/>
  <c r="G56" i="44"/>
  <c r="I56" i="54" s="1"/>
  <c r="F56" i="44"/>
  <c r="I56" i="53" s="1"/>
  <c r="E56" i="44"/>
  <c r="I56" i="52" s="1"/>
  <c r="D56" i="44"/>
  <c r="I56" i="51" s="1"/>
  <c r="C56" i="44"/>
  <c r="I56" i="11" s="1"/>
  <c r="G55" i="44"/>
  <c r="I55" i="54" s="1"/>
  <c r="F55" i="44"/>
  <c r="I55" i="53" s="1"/>
  <c r="E55" i="44"/>
  <c r="I55" i="52" s="1"/>
  <c r="D55" i="44"/>
  <c r="I55" i="51" s="1"/>
  <c r="C55" i="44"/>
  <c r="I55" i="11" s="1"/>
  <c r="G54" i="44"/>
  <c r="I54" i="54" s="1"/>
  <c r="F54" i="44"/>
  <c r="I54" i="53" s="1"/>
  <c r="E54" i="44"/>
  <c r="I54" i="52" s="1"/>
  <c r="D54" i="44"/>
  <c r="I54" i="51" s="1"/>
  <c r="C54" i="44"/>
  <c r="I54" i="11" s="1"/>
  <c r="G53" i="44"/>
  <c r="I53" i="54" s="1"/>
  <c r="F53" i="44"/>
  <c r="I53" i="53" s="1"/>
  <c r="E53" i="44"/>
  <c r="I53" i="52" s="1"/>
  <c r="D53" i="44"/>
  <c r="I53" i="51" s="1"/>
  <c r="C53" i="44"/>
  <c r="I53" i="11" s="1"/>
  <c r="G52" i="44"/>
  <c r="I52" i="54" s="1"/>
  <c r="F52" i="44"/>
  <c r="I52" i="53" s="1"/>
  <c r="E52" i="44"/>
  <c r="I52" i="52" s="1"/>
  <c r="D52" i="44"/>
  <c r="I52" i="51" s="1"/>
  <c r="C52" i="44"/>
  <c r="I52" i="11" s="1"/>
  <c r="G51" i="44"/>
  <c r="I51" i="54" s="1"/>
  <c r="F51" i="44"/>
  <c r="I51" i="53" s="1"/>
  <c r="E51" i="44"/>
  <c r="I51" i="52" s="1"/>
  <c r="D51" i="44"/>
  <c r="I51" i="51" s="1"/>
  <c r="C51" i="44"/>
  <c r="I51" i="11" s="1"/>
  <c r="G50" i="44"/>
  <c r="I50" i="54" s="1"/>
  <c r="F50" i="44"/>
  <c r="I50" i="53" s="1"/>
  <c r="E50" i="44"/>
  <c r="I50" i="52" s="1"/>
  <c r="D50" i="44"/>
  <c r="I50" i="51" s="1"/>
  <c r="C50" i="44"/>
  <c r="I50" i="11" s="1"/>
  <c r="G49" i="44"/>
  <c r="I49" i="54" s="1"/>
  <c r="F49" i="44"/>
  <c r="I49" i="53" s="1"/>
  <c r="E49" i="44"/>
  <c r="I49" i="52" s="1"/>
  <c r="D49" i="44"/>
  <c r="I49" i="51" s="1"/>
  <c r="C49" i="44"/>
  <c r="I49" i="11" s="1"/>
  <c r="G48" i="44"/>
  <c r="I48" i="54" s="1"/>
  <c r="F48" i="44"/>
  <c r="I48" i="53" s="1"/>
  <c r="E48" i="44"/>
  <c r="I48" i="52" s="1"/>
  <c r="D48" i="44"/>
  <c r="I48" i="51" s="1"/>
  <c r="C48" i="44"/>
  <c r="I48" i="11" s="1"/>
  <c r="G47" i="44"/>
  <c r="I47" i="54" s="1"/>
  <c r="F47" i="44"/>
  <c r="I47" i="53" s="1"/>
  <c r="E47" i="44"/>
  <c r="I47" i="52" s="1"/>
  <c r="D47" i="44"/>
  <c r="I47" i="51" s="1"/>
  <c r="C47" i="44"/>
  <c r="I47" i="11" s="1"/>
  <c r="G46" i="44"/>
  <c r="I46" i="54" s="1"/>
  <c r="F46" i="44"/>
  <c r="I46" i="53" s="1"/>
  <c r="E46" i="44"/>
  <c r="I46" i="52" s="1"/>
  <c r="D46" i="44"/>
  <c r="I46" i="51" s="1"/>
  <c r="C46" i="44"/>
  <c r="I46" i="11" s="1"/>
  <c r="G45" i="44"/>
  <c r="I45" i="54" s="1"/>
  <c r="F45" i="44"/>
  <c r="I45" i="53" s="1"/>
  <c r="E45" i="44"/>
  <c r="I45" i="52" s="1"/>
  <c r="D45" i="44"/>
  <c r="I45" i="51" s="1"/>
  <c r="C45" i="44"/>
  <c r="I45" i="11" s="1"/>
  <c r="G44" i="44"/>
  <c r="I44" i="54" s="1"/>
  <c r="F44" i="44"/>
  <c r="I44" i="53" s="1"/>
  <c r="E44" i="44"/>
  <c r="I44" i="52" s="1"/>
  <c r="D44" i="44"/>
  <c r="I44" i="51" s="1"/>
  <c r="C44" i="44"/>
  <c r="I44" i="11" s="1"/>
  <c r="G43" i="44"/>
  <c r="I43" i="54" s="1"/>
  <c r="F43" i="44"/>
  <c r="I43" i="53" s="1"/>
  <c r="E43" i="44"/>
  <c r="I43" i="52" s="1"/>
  <c r="D43" i="44"/>
  <c r="I43" i="51" s="1"/>
  <c r="C43" i="44"/>
  <c r="I43" i="11" s="1"/>
  <c r="G42" i="44"/>
  <c r="I42" i="54" s="1"/>
  <c r="F42" i="44"/>
  <c r="I42" i="53" s="1"/>
  <c r="E42" i="44"/>
  <c r="I42" i="52" s="1"/>
  <c r="D42" i="44"/>
  <c r="I42" i="51" s="1"/>
  <c r="C42" i="44"/>
  <c r="I42" i="11" s="1"/>
  <c r="G41" i="44"/>
  <c r="I41" i="54" s="1"/>
  <c r="F41" i="44"/>
  <c r="I41" i="53" s="1"/>
  <c r="E41" i="44"/>
  <c r="I41" i="52" s="1"/>
  <c r="D41" i="44"/>
  <c r="I41" i="51" s="1"/>
  <c r="C41" i="44"/>
  <c r="I41" i="11" s="1"/>
  <c r="G40" i="44"/>
  <c r="I40" i="54" s="1"/>
  <c r="F40" i="44"/>
  <c r="I40" i="53" s="1"/>
  <c r="E40" i="44"/>
  <c r="I40" i="52" s="1"/>
  <c r="D40" i="44"/>
  <c r="I40" i="51" s="1"/>
  <c r="C40" i="44"/>
  <c r="I40" i="11" s="1"/>
  <c r="G39" i="44"/>
  <c r="I39" i="54" s="1"/>
  <c r="F39" i="44"/>
  <c r="I39" i="53" s="1"/>
  <c r="E39" i="44"/>
  <c r="I39" i="52" s="1"/>
  <c r="D39" i="44"/>
  <c r="I39" i="51" s="1"/>
  <c r="C39" i="44"/>
  <c r="I39" i="11" s="1"/>
  <c r="G38" i="44"/>
  <c r="I38" i="54" s="1"/>
  <c r="F38" i="44"/>
  <c r="I38" i="53" s="1"/>
  <c r="E38" i="44"/>
  <c r="I38" i="52" s="1"/>
  <c r="D38" i="44"/>
  <c r="I38" i="51" s="1"/>
  <c r="C38" i="44"/>
  <c r="I38" i="11" s="1"/>
  <c r="G37" i="44"/>
  <c r="I37" i="54" s="1"/>
  <c r="F37" i="44"/>
  <c r="I37" i="53" s="1"/>
  <c r="E37" i="44"/>
  <c r="I37" i="52" s="1"/>
  <c r="D37" i="44"/>
  <c r="I37" i="51" s="1"/>
  <c r="C37" i="44"/>
  <c r="I37" i="11" s="1"/>
  <c r="G36" i="44"/>
  <c r="I36" i="54" s="1"/>
  <c r="F36" i="44"/>
  <c r="I36" i="53" s="1"/>
  <c r="E36" i="44"/>
  <c r="I36" i="52" s="1"/>
  <c r="D36" i="44"/>
  <c r="I36" i="51" s="1"/>
  <c r="C36" i="44"/>
  <c r="I36" i="11" s="1"/>
  <c r="G35" i="44"/>
  <c r="I35" i="54" s="1"/>
  <c r="F35" i="44"/>
  <c r="I35" i="53" s="1"/>
  <c r="E35" i="44"/>
  <c r="I35" i="52" s="1"/>
  <c r="D35" i="44"/>
  <c r="I35" i="51" s="1"/>
  <c r="C35" i="44"/>
  <c r="I35" i="11" s="1"/>
  <c r="G34" i="44"/>
  <c r="I34" i="54" s="1"/>
  <c r="F34" i="44"/>
  <c r="I34" i="53" s="1"/>
  <c r="E34" i="44"/>
  <c r="I34" i="52" s="1"/>
  <c r="D34" i="44"/>
  <c r="I34" i="51" s="1"/>
  <c r="C34" i="44"/>
  <c r="I34" i="11" s="1"/>
  <c r="G33" i="44"/>
  <c r="I33" i="54" s="1"/>
  <c r="F33" i="44"/>
  <c r="I33" i="53" s="1"/>
  <c r="E33" i="44"/>
  <c r="I33" i="52" s="1"/>
  <c r="D33" i="44"/>
  <c r="I33" i="51" s="1"/>
  <c r="C33" i="44"/>
  <c r="I33" i="11" s="1"/>
  <c r="G32" i="44"/>
  <c r="I32" i="54" s="1"/>
  <c r="F32" i="44"/>
  <c r="I32" i="53" s="1"/>
  <c r="E32" i="44"/>
  <c r="I32" i="52" s="1"/>
  <c r="D32" i="44"/>
  <c r="I32" i="51" s="1"/>
  <c r="C32" i="44"/>
  <c r="I32" i="11" s="1"/>
  <c r="G31" i="44"/>
  <c r="I31" i="54" s="1"/>
  <c r="F31" i="44"/>
  <c r="I31" i="53" s="1"/>
  <c r="E31" i="44"/>
  <c r="I31" i="52" s="1"/>
  <c r="D31" i="44"/>
  <c r="I31" i="51" s="1"/>
  <c r="C31" i="44"/>
  <c r="I31" i="11" s="1"/>
  <c r="G30" i="44"/>
  <c r="I30" i="54" s="1"/>
  <c r="F30" i="44"/>
  <c r="I30" i="53" s="1"/>
  <c r="E30" i="44"/>
  <c r="I30" i="52" s="1"/>
  <c r="D30" i="44"/>
  <c r="I30" i="51" s="1"/>
  <c r="C30" i="44"/>
  <c r="I30" i="11" s="1"/>
  <c r="G29" i="44"/>
  <c r="I29" i="54" s="1"/>
  <c r="F29" i="44"/>
  <c r="I29" i="53" s="1"/>
  <c r="E29" i="44"/>
  <c r="I29" i="52" s="1"/>
  <c r="D29" i="44"/>
  <c r="I29" i="51" s="1"/>
  <c r="C29" i="44"/>
  <c r="I29" i="11" s="1"/>
  <c r="G28" i="44"/>
  <c r="I28" i="54" s="1"/>
  <c r="F28" i="44"/>
  <c r="I28" i="53" s="1"/>
  <c r="E28" i="44"/>
  <c r="I28" i="52" s="1"/>
  <c r="D28" i="44"/>
  <c r="I28" i="51" s="1"/>
  <c r="C28" i="44"/>
  <c r="I28" i="11" s="1"/>
  <c r="G27" i="44"/>
  <c r="I27" i="54" s="1"/>
  <c r="F27" i="44"/>
  <c r="I27" i="53" s="1"/>
  <c r="E27" i="44"/>
  <c r="I27" i="52" s="1"/>
  <c r="D27" i="44"/>
  <c r="I27" i="51" s="1"/>
  <c r="C27" i="44"/>
  <c r="I27" i="11" s="1"/>
  <c r="G26" i="44"/>
  <c r="I26" i="54" s="1"/>
  <c r="F26" i="44"/>
  <c r="I26" i="53" s="1"/>
  <c r="E26" i="44"/>
  <c r="I26" i="52" s="1"/>
  <c r="D26" i="44"/>
  <c r="I26" i="51" s="1"/>
  <c r="C26" i="44"/>
  <c r="I26" i="11" s="1"/>
  <c r="G25" i="44"/>
  <c r="I25" i="54" s="1"/>
  <c r="F25" i="44"/>
  <c r="I25" i="53" s="1"/>
  <c r="E25" i="44"/>
  <c r="I25" i="52" s="1"/>
  <c r="D25" i="44"/>
  <c r="I25" i="51" s="1"/>
  <c r="C25" i="44"/>
  <c r="I25" i="11" s="1"/>
  <c r="G24" i="44"/>
  <c r="I24" i="54" s="1"/>
  <c r="F24" i="44"/>
  <c r="I24" i="53" s="1"/>
  <c r="E24" i="44"/>
  <c r="I24" i="52" s="1"/>
  <c r="D24" i="44"/>
  <c r="I24" i="51" s="1"/>
  <c r="C24" i="44"/>
  <c r="I24" i="11" s="1"/>
  <c r="G23" i="44"/>
  <c r="I23" i="54" s="1"/>
  <c r="F23" i="44"/>
  <c r="I23" i="53" s="1"/>
  <c r="E23" i="44"/>
  <c r="I23" i="52" s="1"/>
  <c r="D23" i="44"/>
  <c r="I23" i="51" s="1"/>
  <c r="C23" i="44"/>
  <c r="I23" i="11" s="1"/>
  <c r="G22" i="44"/>
  <c r="I22" i="54" s="1"/>
  <c r="F22" i="44"/>
  <c r="I22" i="53" s="1"/>
  <c r="E22" i="44"/>
  <c r="I22" i="52" s="1"/>
  <c r="D22" i="44"/>
  <c r="I22" i="51" s="1"/>
  <c r="C22" i="44"/>
  <c r="I22" i="11" s="1"/>
  <c r="G21" i="44"/>
  <c r="I21" i="54" s="1"/>
  <c r="F21" i="44"/>
  <c r="I21" i="53" s="1"/>
  <c r="E21" i="44"/>
  <c r="I21" i="52" s="1"/>
  <c r="D21" i="44"/>
  <c r="I21" i="51" s="1"/>
  <c r="C21" i="44"/>
  <c r="I21" i="11" s="1"/>
  <c r="G20" i="44"/>
  <c r="I20" i="54" s="1"/>
  <c r="F20" i="44"/>
  <c r="I20" i="53" s="1"/>
  <c r="E20" i="44"/>
  <c r="I20" i="52" s="1"/>
  <c r="D20" i="44"/>
  <c r="I20" i="51" s="1"/>
  <c r="C20" i="44"/>
  <c r="I20" i="11" s="1"/>
  <c r="G19" i="44"/>
  <c r="I19" i="54" s="1"/>
  <c r="F19" i="44"/>
  <c r="I19" i="53" s="1"/>
  <c r="E19" i="44"/>
  <c r="I19" i="52" s="1"/>
  <c r="D19" i="44"/>
  <c r="I19" i="51" s="1"/>
  <c r="C19" i="44"/>
  <c r="I19" i="11" s="1"/>
  <c r="G18" i="44"/>
  <c r="I18" i="54" s="1"/>
  <c r="F18" i="44"/>
  <c r="I18" i="53" s="1"/>
  <c r="E18" i="44"/>
  <c r="I18" i="52" s="1"/>
  <c r="D18" i="44"/>
  <c r="I18" i="51" s="1"/>
  <c r="C18" i="44"/>
  <c r="I18" i="11" s="1"/>
  <c r="G17" i="44"/>
  <c r="I17" i="54" s="1"/>
  <c r="F17" i="44"/>
  <c r="I17" i="53" s="1"/>
  <c r="E17" i="44"/>
  <c r="I17" i="52" s="1"/>
  <c r="D17" i="44"/>
  <c r="I17" i="51" s="1"/>
  <c r="C17" i="44"/>
  <c r="I17" i="11" s="1"/>
  <c r="G16" i="44"/>
  <c r="I16" i="54" s="1"/>
  <c r="F16" i="44"/>
  <c r="I16" i="53" s="1"/>
  <c r="E16" i="44"/>
  <c r="I16" i="52" s="1"/>
  <c r="D16" i="44"/>
  <c r="I16" i="51" s="1"/>
  <c r="C16" i="44"/>
  <c r="I16" i="11" s="1"/>
  <c r="G15" i="44"/>
  <c r="I15" i="54" s="1"/>
  <c r="F15" i="44"/>
  <c r="I15" i="53" s="1"/>
  <c r="E15" i="44"/>
  <c r="I15" i="52" s="1"/>
  <c r="D15" i="44"/>
  <c r="I15" i="51" s="1"/>
  <c r="C15" i="44"/>
  <c r="I15" i="11" s="1"/>
  <c r="G14" i="44"/>
  <c r="I14" i="54" s="1"/>
  <c r="F14" i="44"/>
  <c r="I14" i="53" s="1"/>
  <c r="E14" i="44"/>
  <c r="I14" i="52" s="1"/>
  <c r="D14" i="44"/>
  <c r="I14" i="51" s="1"/>
  <c r="C14" i="44"/>
  <c r="I14" i="11" s="1"/>
  <c r="G13" i="44"/>
  <c r="I13" i="54" s="1"/>
  <c r="F13" i="44"/>
  <c r="I13" i="53" s="1"/>
  <c r="E13" i="44"/>
  <c r="I13" i="52" s="1"/>
  <c r="D13" i="44"/>
  <c r="I13" i="51" s="1"/>
  <c r="C13" i="44"/>
  <c r="I13" i="11" s="1"/>
  <c r="G12" i="44"/>
  <c r="I12" i="54" s="1"/>
  <c r="F12" i="44"/>
  <c r="I12" i="53" s="1"/>
  <c r="E12" i="44"/>
  <c r="I12" i="52" s="1"/>
  <c r="D12" i="44"/>
  <c r="I12" i="51" s="1"/>
  <c r="C12" i="44"/>
  <c r="I12" i="11" s="1"/>
  <c r="G11" i="44"/>
  <c r="I11" i="54" s="1"/>
  <c r="F11" i="44"/>
  <c r="I11" i="53" s="1"/>
  <c r="E11" i="44"/>
  <c r="I11" i="52" s="1"/>
  <c r="D11" i="44"/>
  <c r="I11" i="51" s="1"/>
  <c r="C11" i="44"/>
  <c r="I11" i="11" s="1"/>
  <c r="G10" i="44"/>
  <c r="I10" i="54" s="1"/>
  <c r="F10" i="44"/>
  <c r="I10" i="53" s="1"/>
  <c r="E10" i="44"/>
  <c r="I10" i="52" s="1"/>
  <c r="D10" i="44"/>
  <c r="I10" i="51" s="1"/>
  <c r="C10" i="44"/>
  <c r="I10" i="11" s="1"/>
  <c r="G9" i="44"/>
  <c r="I9" i="54" s="1"/>
  <c r="F9" i="44"/>
  <c r="I9" i="53" s="1"/>
  <c r="E9" i="44"/>
  <c r="I9" i="52" s="1"/>
  <c r="D9" i="44"/>
  <c r="I9" i="51" s="1"/>
  <c r="C9" i="44"/>
  <c r="I9" i="11" s="1"/>
  <c r="G58" i="43"/>
  <c r="J58" i="54" s="1"/>
  <c r="F58" i="43"/>
  <c r="J58" i="53" s="1"/>
  <c r="E58" i="43"/>
  <c r="J58" i="52" s="1"/>
  <c r="D58" i="43"/>
  <c r="J58" i="51" s="1"/>
  <c r="C58" i="43"/>
  <c r="J58" i="11" s="1"/>
  <c r="G57" i="43"/>
  <c r="J57" i="54" s="1"/>
  <c r="F57" i="43"/>
  <c r="J57" i="53" s="1"/>
  <c r="E57" i="43"/>
  <c r="J57" i="52" s="1"/>
  <c r="D57" i="43"/>
  <c r="J57" i="51" s="1"/>
  <c r="C57" i="43"/>
  <c r="J57" i="11" s="1"/>
  <c r="G56" i="43"/>
  <c r="J56" i="54" s="1"/>
  <c r="F56" i="43"/>
  <c r="J56" i="53" s="1"/>
  <c r="E56" i="43"/>
  <c r="J56" i="52" s="1"/>
  <c r="D56" i="43"/>
  <c r="J56" i="51" s="1"/>
  <c r="C56" i="43"/>
  <c r="J56" i="11" s="1"/>
  <c r="G55" i="43"/>
  <c r="J55" i="54" s="1"/>
  <c r="F55" i="43"/>
  <c r="J55" i="53" s="1"/>
  <c r="E55" i="43"/>
  <c r="J55" i="52" s="1"/>
  <c r="D55" i="43"/>
  <c r="J55" i="51" s="1"/>
  <c r="C55" i="43"/>
  <c r="J55" i="11" s="1"/>
  <c r="G54" i="43"/>
  <c r="J54" i="54" s="1"/>
  <c r="F54" i="43"/>
  <c r="J54" i="53" s="1"/>
  <c r="E54" i="43"/>
  <c r="J54" i="52" s="1"/>
  <c r="D54" i="43"/>
  <c r="J54" i="51" s="1"/>
  <c r="C54" i="43"/>
  <c r="J54" i="11" s="1"/>
  <c r="G53" i="43"/>
  <c r="J53" i="54" s="1"/>
  <c r="F53" i="43"/>
  <c r="J53" i="53" s="1"/>
  <c r="E53" i="43"/>
  <c r="J53" i="52" s="1"/>
  <c r="D53" i="43"/>
  <c r="J53" i="51" s="1"/>
  <c r="C53" i="43"/>
  <c r="J53" i="11" s="1"/>
  <c r="G52" i="43"/>
  <c r="J52" i="54" s="1"/>
  <c r="F52" i="43"/>
  <c r="J52" i="53" s="1"/>
  <c r="E52" i="43"/>
  <c r="J52" i="52" s="1"/>
  <c r="D52" i="43"/>
  <c r="J52" i="51" s="1"/>
  <c r="C52" i="43"/>
  <c r="J52" i="11" s="1"/>
  <c r="G51" i="43"/>
  <c r="J51" i="54" s="1"/>
  <c r="F51" i="43"/>
  <c r="J51" i="53" s="1"/>
  <c r="E51" i="43"/>
  <c r="J51" i="52" s="1"/>
  <c r="D51" i="43"/>
  <c r="J51" i="51" s="1"/>
  <c r="C51" i="43"/>
  <c r="J51" i="11" s="1"/>
  <c r="G50" i="43"/>
  <c r="J50" i="54" s="1"/>
  <c r="F50" i="43"/>
  <c r="J50" i="53" s="1"/>
  <c r="E50" i="43"/>
  <c r="J50" i="52" s="1"/>
  <c r="D50" i="43"/>
  <c r="J50" i="51" s="1"/>
  <c r="C50" i="43"/>
  <c r="J50" i="11" s="1"/>
  <c r="G49" i="43"/>
  <c r="J49" i="54" s="1"/>
  <c r="F49" i="43"/>
  <c r="J49" i="53" s="1"/>
  <c r="E49" i="43"/>
  <c r="J49" i="52" s="1"/>
  <c r="D49" i="43"/>
  <c r="J49" i="51" s="1"/>
  <c r="C49" i="43"/>
  <c r="J49" i="11" s="1"/>
  <c r="G48" i="43"/>
  <c r="J48" i="54" s="1"/>
  <c r="F48" i="43"/>
  <c r="J48" i="53" s="1"/>
  <c r="E48" i="43"/>
  <c r="J48" i="52" s="1"/>
  <c r="D48" i="43"/>
  <c r="J48" i="51" s="1"/>
  <c r="C48" i="43"/>
  <c r="J48" i="11" s="1"/>
  <c r="G47" i="43"/>
  <c r="J47" i="54" s="1"/>
  <c r="F47" i="43"/>
  <c r="J47" i="53" s="1"/>
  <c r="E47" i="43"/>
  <c r="J47" i="52" s="1"/>
  <c r="D47" i="43"/>
  <c r="J47" i="51" s="1"/>
  <c r="C47" i="43"/>
  <c r="J47" i="11" s="1"/>
  <c r="G46" i="43"/>
  <c r="J46" i="54" s="1"/>
  <c r="F46" i="43"/>
  <c r="J46" i="53" s="1"/>
  <c r="E46" i="43"/>
  <c r="J46" i="52" s="1"/>
  <c r="D46" i="43"/>
  <c r="J46" i="51" s="1"/>
  <c r="C46" i="43"/>
  <c r="J46" i="11" s="1"/>
  <c r="G45" i="43"/>
  <c r="J45" i="54" s="1"/>
  <c r="F45" i="43"/>
  <c r="J45" i="53" s="1"/>
  <c r="E45" i="43"/>
  <c r="J45" i="52" s="1"/>
  <c r="D45" i="43"/>
  <c r="J45" i="51" s="1"/>
  <c r="C45" i="43"/>
  <c r="J45" i="11" s="1"/>
  <c r="G44" i="43"/>
  <c r="J44" i="54" s="1"/>
  <c r="F44" i="43"/>
  <c r="J44" i="53" s="1"/>
  <c r="E44" i="43"/>
  <c r="J44" i="52" s="1"/>
  <c r="D44" i="43"/>
  <c r="J44" i="51" s="1"/>
  <c r="C44" i="43"/>
  <c r="J44" i="11" s="1"/>
  <c r="G43" i="43"/>
  <c r="J43" i="54" s="1"/>
  <c r="F43" i="43"/>
  <c r="J43" i="53" s="1"/>
  <c r="E43" i="43"/>
  <c r="J43" i="52" s="1"/>
  <c r="D43" i="43"/>
  <c r="J43" i="51" s="1"/>
  <c r="C43" i="43"/>
  <c r="J43" i="11" s="1"/>
  <c r="G42" i="43"/>
  <c r="J42" i="54" s="1"/>
  <c r="F42" i="43"/>
  <c r="J42" i="53" s="1"/>
  <c r="E42" i="43"/>
  <c r="J42" i="52" s="1"/>
  <c r="D42" i="43"/>
  <c r="J42" i="51" s="1"/>
  <c r="C42" i="43"/>
  <c r="J42" i="11" s="1"/>
  <c r="G41" i="43"/>
  <c r="J41" i="54" s="1"/>
  <c r="F41" i="43"/>
  <c r="J41" i="53" s="1"/>
  <c r="E41" i="43"/>
  <c r="J41" i="52" s="1"/>
  <c r="D41" i="43"/>
  <c r="J41" i="51" s="1"/>
  <c r="C41" i="43"/>
  <c r="J41" i="11" s="1"/>
  <c r="G40" i="43"/>
  <c r="J40" i="54" s="1"/>
  <c r="F40" i="43"/>
  <c r="J40" i="53" s="1"/>
  <c r="E40" i="43"/>
  <c r="J40" i="52" s="1"/>
  <c r="D40" i="43"/>
  <c r="J40" i="51" s="1"/>
  <c r="C40" i="43"/>
  <c r="J40" i="11" s="1"/>
  <c r="G39" i="43"/>
  <c r="J39" i="54" s="1"/>
  <c r="F39" i="43"/>
  <c r="J39" i="53" s="1"/>
  <c r="E39" i="43"/>
  <c r="J39" i="52" s="1"/>
  <c r="D39" i="43"/>
  <c r="J39" i="51" s="1"/>
  <c r="C39" i="43"/>
  <c r="J39" i="11" s="1"/>
  <c r="G38" i="43"/>
  <c r="J38" i="54" s="1"/>
  <c r="F38" i="43"/>
  <c r="J38" i="53" s="1"/>
  <c r="E38" i="43"/>
  <c r="J38" i="52" s="1"/>
  <c r="D38" i="43"/>
  <c r="J38" i="51" s="1"/>
  <c r="C38" i="43"/>
  <c r="J38" i="11" s="1"/>
  <c r="G37" i="43"/>
  <c r="J37" i="54" s="1"/>
  <c r="F37" i="43"/>
  <c r="J37" i="53" s="1"/>
  <c r="E37" i="43"/>
  <c r="J37" i="52" s="1"/>
  <c r="D37" i="43"/>
  <c r="J37" i="51" s="1"/>
  <c r="C37" i="43"/>
  <c r="J37" i="11" s="1"/>
  <c r="G36" i="43"/>
  <c r="J36" i="54" s="1"/>
  <c r="F36" i="43"/>
  <c r="J36" i="53" s="1"/>
  <c r="E36" i="43"/>
  <c r="J36" i="52" s="1"/>
  <c r="D36" i="43"/>
  <c r="J36" i="51" s="1"/>
  <c r="C36" i="43"/>
  <c r="J36" i="11" s="1"/>
  <c r="G35" i="43"/>
  <c r="J35" i="54" s="1"/>
  <c r="F35" i="43"/>
  <c r="J35" i="53" s="1"/>
  <c r="E35" i="43"/>
  <c r="J35" i="52" s="1"/>
  <c r="D35" i="43"/>
  <c r="J35" i="51" s="1"/>
  <c r="C35" i="43"/>
  <c r="J35" i="11" s="1"/>
  <c r="G34" i="43"/>
  <c r="J34" i="54" s="1"/>
  <c r="F34" i="43"/>
  <c r="J34" i="53" s="1"/>
  <c r="E34" i="43"/>
  <c r="J34" i="52" s="1"/>
  <c r="D34" i="43"/>
  <c r="J34" i="51" s="1"/>
  <c r="C34" i="43"/>
  <c r="J34" i="11" s="1"/>
  <c r="G33" i="43"/>
  <c r="J33" i="54" s="1"/>
  <c r="F33" i="43"/>
  <c r="J33" i="53" s="1"/>
  <c r="E33" i="43"/>
  <c r="J33" i="52" s="1"/>
  <c r="D33" i="43"/>
  <c r="J33" i="51" s="1"/>
  <c r="C33" i="43"/>
  <c r="J33" i="11" s="1"/>
  <c r="G32" i="43"/>
  <c r="J32" i="54" s="1"/>
  <c r="F32" i="43"/>
  <c r="J32" i="53" s="1"/>
  <c r="E32" i="43"/>
  <c r="J32" i="52" s="1"/>
  <c r="D32" i="43"/>
  <c r="J32" i="51" s="1"/>
  <c r="C32" i="43"/>
  <c r="J32" i="11" s="1"/>
  <c r="G31" i="43"/>
  <c r="J31" i="54" s="1"/>
  <c r="F31" i="43"/>
  <c r="J31" i="53" s="1"/>
  <c r="E31" i="43"/>
  <c r="J31" i="52" s="1"/>
  <c r="D31" i="43"/>
  <c r="J31" i="51" s="1"/>
  <c r="C31" i="43"/>
  <c r="J31" i="11" s="1"/>
  <c r="G30" i="43"/>
  <c r="J30" i="54" s="1"/>
  <c r="F30" i="43"/>
  <c r="J30" i="53" s="1"/>
  <c r="E30" i="43"/>
  <c r="J30" i="52" s="1"/>
  <c r="D30" i="43"/>
  <c r="J30" i="51" s="1"/>
  <c r="C30" i="43"/>
  <c r="J30" i="11" s="1"/>
  <c r="G29" i="43"/>
  <c r="J29" i="54" s="1"/>
  <c r="F29" i="43"/>
  <c r="J29" i="53" s="1"/>
  <c r="E29" i="43"/>
  <c r="J29" i="52" s="1"/>
  <c r="D29" i="43"/>
  <c r="J29" i="51" s="1"/>
  <c r="C29" i="43"/>
  <c r="J29" i="11" s="1"/>
  <c r="G28" i="43"/>
  <c r="J28" i="54" s="1"/>
  <c r="F28" i="43"/>
  <c r="J28" i="53" s="1"/>
  <c r="E28" i="43"/>
  <c r="J28" i="52" s="1"/>
  <c r="D28" i="43"/>
  <c r="J28" i="51" s="1"/>
  <c r="C28" i="43"/>
  <c r="J28" i="11" s="1"/>
  <c r="G27" i="43"/>
  <c r="J27" i="54" s="1"/>
  <c r="F27" i="43"/>
  <c r="J27" i="53" s="1"/>
  <c r="E27" i="43"/>
  <c r="J27" i="52" s="1"/>
  <c r="D27" i="43"/>
  <c r="J27" i="51" s="1"/>
  <c r="C27" i="43"/>
  <c r="J27" i="11" s="1"/>
  <c r="G26" i="43"/>
  <c r="J26" i="54" s="1"/>
  <c r="F26" i="43"/>
  <c r="J26" i="53" s="1"/>
  <c r="E26" i="43"/>
  <c r="J26" i="52" s="1"/>
  <c r="D26" i="43"/>
  <c r="J26" i="51" s="1"/>
  <c r="C26" i="43"/>
  <c r="J26" i="11" s="1"/>
  <c r="G25" i="43"/>
  <c r="J25" i="54" s="1"/>
  <c r="F25" i="43"/>
  <c r="J25" i="53" s="1"/>
  <c r="E25" i="43"/>
  <c r="J25" i="52" s="1"/>
  <c r="D25" i="43"/>
  <c r="J25" i="51" s="1"/>
  <c r="C25" i="43"/>
  <c r="J25" i="11" s="1"/>
  <c r="G24" i="43"/>
  <c r="J24" i="54" s="1"/>
  <c r="F24" i="43"/>
  <c r="J24" i="53" s="1"/>
  <c r="E24" i="43"/>
  <c r="J24" i="52" s="1"/>
  <c r="D24" i="43"/>
  <c r="J24" i="51" s="1"/>
  <c r="C24" i="43"/>
  <c r="J24" i="11" s="1"/>
  <c r="G23" i="43"/>
  <c r="J23" i="54" s="1"/>
  <c r="F23" i="43"/>
  <c r="J23" i="53" s="1"/>
  <c r="E23" i="43"/>
  <c r="J23" i="52" s="1"/>
  <c r="D23" i="43"/>
  <c r="J23" i="51" s="1"/>
  <c r="C23" i="43"/>
  <c r="J23" i="11" s="1"/>
  <c r="G22" i="43"/>
  <c r="J22" i="54" s="1"/>
  <c r="F22" i="43"/>
  <c r="J22" i="53" s="1"/>
  <c r="E22" i="43"/>
  <c r="J22" i="52" s="1"/>
  <c r="D22" i="43"/>
  <c r="J22" i="51" s="1"/>
  <c r="C22" i="43"/>
  <c r="J22" i="11" s="1"/>
  <c r="G21" i="43"/>
  <c r="J21" i="54" s="1"/>
  <c r="F21" i="43"/>
  <c r="J21" i="53" s="1"/>
  <c r="E21" i="43"/>
  <c r="J21" i="52" s="1"/>
  <c r="D21" i="43"/>
  <c r="J21" i="51" s="1"/>
  <c r="C21" i="43"/>
  <c r="J21" i="11" s="1"/>
  <c r="G20" i="43"/>
  <c r="J20" i="54" s="1"/>
  <c r="F20" i="43"/>
  <c r="J20" i="53" s="1"/>
  <c r="E20" i="43"/>
  <c r="J20" i="52" s="1"/>
  <c r="D20" i="43"/>
  <c r="J20" i="51" s="1"/>
  <c r="C20" i="43"/>
  <c r="J20" i="11" s="1"/>
  <c r="G19" i="43"/>
  <c r="J19" i="54" s="1"/>
  <c r="F19" i="43"/>
  <c r="J19" i="53" s="1"/>
  <c r="E19" i="43"/>
  <c r="J19" i="52" s="1"/>
  <c r="D19" i="43"/>
  <c r="J19" i="51" s="1"/>
  <c r="C19" i="43"/>
  <c r="J19" i="11" s="1"/>
  <c r="G18" i="43"/>
  <c r="J18" i="54" s="1"/>
  <c r="F18" i="43"/>
  <c r="J18" i="53" s="1"/>
  <c r="E18" i="43"/>
  <c r="J18" i="52" s="1"/>
  <c r="D18" i="43"/>
  <c r="J18" i="51" s="1"/>
  <c r="C18" i="43"/>
  <c r="J18" i="11" s="1"/>
  <c r="G17" i="43"/>
  <c r="J17" i="54" s="1"/>
  <c r="F17" i="43"/>
  <c r="J17" i="53" s="1"/>
  <c r="E17" i="43"/>
  <c r="J17" i="52" s="1"/>
  <c r="D17" i="43"/>
  <c r="J17" i="51" s="1"/>
  <c r="C17" i="43"/>
  <c r="J17" i="11" s="1"/>
  <c r="G16" i="43"/>
  <c r="J16" i="54" s="1"/>
  <c r="F16" i="43"/>
  <c r="J16" i="53" s="1"/>
  <c r="E16" i="43"/>
  <c r="J16" i="52" s="1"/>
  <c r="D16" i="43"/>
  <c r="J16" i="51" s="1"/>
  <c r="C16" i="43"/>
  <c r="J16" i="11" s="1"/>
  <c r="G15" i="43"/>
  <c r="J15" i="54" s="1"/>
  <c r="F15" i="43"/>
  <c r="J15" i="53" s="1"/>
  <c r="E15" i="43"/>
  <c r="J15" i="52" s="1"/>
  <c r="D15" i="43"/>
  <c r="J15" i="51" s="1"/>
  <c r="C15" i="43"/>
  <c r="J15" i="11" s="1"/>
  <c r="G14" i="43"/>
  <c r="J14" i="54" s="1"/>
  <c r="F14" i="43"/>
  <c r="J14" i="53" s="1"/>
  <c r="E14" i="43"/>
  <c r="J14" i="52" s="1"/>
  <c r="D14" i="43"/>
  <c r="J14" i="51" s="1"/>
  <c r="C14" i="43"/>
  <c r="J14" i="11" s="1"/>
  <c r="G13" i="43"/>
  <c r="J13" i="54" s="1"/>
  <c r="F13" i="43"/>
  <c r="J13" i="53" s="1"/>
  <c r="E13" i="43"/>
  <c r="J13" i="52" s="1"/>
  <c r="D13" i="43"/>
  <c r="J13" i="51" s="1"/>
  <c r="C13" i="43"/>
  <c r="J13" i="11" s="1"/>
  <c r="G12" i="43"/>
  <c r="J12" i="54" s="1"/>
  <c r="F12" i="43"/>
  <c r="J12" i="53" s="1"/>
  <c r="E12" i="43"/>
  <c r="J12" i="52" s="1"/>
  <c r="D12" i="43"/>
  <c r="J12" i="51" s="1"/>
  <c r="C12" i="43"/>
  <c r="J12" i="11" s="1"/>
  <c r="G11" i="43"/>
  <c r="J11" i="54" s="1"/>
  <c r="F11" i="43"/>
  <c r="J11" i="53" s="1"/>
  <c r="E11" i="43"/>
  <c r="J11" i="52" s="1"/>
  <c r="D11" i="43"/>
  <c r="J11" i="51" s="1"/>
  <c r="C11" i="43"/>
  <c r="J11" i="11" s="1"/>
  <c r="G10" i="43"/>
  <c r="J10" i="54" s="1"/>
  <c r="F10" i="43"/>
  <c r="J10" i="53" s="1"/>
  <c r="E10" i="43"/>
  <c r="J10" i="52" s="1"/>
  <c r="D10" i="43"/>
  <c r="J10" i="51" s="1"/>
  <c r="C10" i="43"/>
  <c r="J10" i="11" s="1"/>
  <c r="G9" i="43"/>
  <c r="J9" i="54" s="1"/>
  <c r="F9" i="43"/>
  <c r="J9" i="53" s="1"/>
  <c r="E9" i="43"/>
  <c r="J9" i="52" s="1"/>
  <c r="D9" i="43"/>
  <c r="J9" i="51" s="1"/>
  <c r="C9" i="43"/>
  <c r="J9" i="11" s="1"/>
  <c r="G58" i="42"/>
  <c r="K58" i="54" s="1"/>
  <c r="F58" i="42"/>
  <c r="K58" i="53" s="1"/>
  <c r="E58" i="42"/>
  <c r="K58" i="52" s="1"/>
  <c r="D58" i="42"/>
  <c r="K58" i="51" s="1"/>
  <c r="C58" i="42"/>
  <c r="K58" i="11" s="1"/>
  <c r="G57" i="42"/>
  <c r="K57" i="54" s="1"/>
  <c r="F57" i="42"/>
  <c r="K57" i="53" s="1"/>
  <c r="E57" i="42"/>
  <c r="K57" i="52" s="1"/>
  <c r="D57" i="42"/>
  <c r="K57" i="51" s="1"/>
  <c r="C57" i="42"/>
  <c r="K57" i="11" s="1"/>
  <c r="G56" i="42"/>
  <c r="K56" i="54" s="1"/>
  <c r="F56" i="42"/>
  <c r="K56" i="53" s="1"/>
  <c r="E56" i="42"/>
  <c r="K56" i="52" s="1"/>
  <c r="D56" i="42"/>
  <c r="K56" i="51" s="1"/>
  <c r="C56" i="42"/>
  <c r="K56" i="11" s="1"/>
  <c r="G55" i="42"/>
  <c r="K55" i="54" s="1"/>
  <c r="F55" i="42"/>
  <c r="K55" i="53" s="1"/>
  <c r="E55" i="42"/>
  <c r="K55" i="52" s="1"/>
  <c r="D55" i="42"/>
  <c r="K55" i="51" s="1"/>
  <c r="C55" i="42"/>
  <c r="K55" i="11" s="1"/>
  <c r="G54" i="42"/>
  <c r="K54" i="54" s="1"/>
  <c r="F54" i="42"/>
  <c r="K54" i="53" s="1"/>
  <c r="E54" i="42"/>
  <c r="K54" i="52" s="1"/>
  <c r="D54" i="42"/>
  <c r="K54" i="51" s="1"/>
  <c r="C54" i="42"/>
  <c r="K54" i="11" s="1"/>
  <c r="G53" i="42"/>
  <c r="K53" i="54" s="1"/>
  <c r="F53" i="42"/>
  <c r="K53" i="53" s="1"/>
  <c r="E53" i="42"/>
  <c r="K53" i="52" s="1"/>
  <c r="D53" i="42"/>
  <c r="K53" i="51" s="1"/>
  <c r="C53" i="42"/>
  <c r="K53" i="11" s="1"/>
  <c r="G52" i="42"/>
  <c r="K52" i="54" s="1"/>
  <c r="F52" i="42"/>
  <c r="K52" i="53" s="1"/>
  <c r="E52" i="42"/>
  <c r="K52" i="52" s="1"/>
  <c r="D52" i="42"/>
  <c r="K52" i="51" s="1"/>
  <c r="C52" i="42"/>
  <c r="K52" i="11" s="1"/>
  <c r="G51" i="42"/>
  <c r="K51" i="54" s="1"/>
  <c r="F51" i="42"/>
  <c r="K51" i="53" s="1"/>
  <c r="E51" i="42"/>
  <c r="K51" i="52" s="1"/>
  <c r="D51" i="42"/>
  <c r="K51" i="51" s="1"/>
  <c r="C51" i="42"/>
  <c r="K51" i="11" s="1"/>
  <c r="G50" i="42"/>
  <c r="K50" i="54" s="1"/>
  <c r="F50" i="42"/>
  <c r="K50" i="53" s="1"/>
  <c r="E50" i="42"/>
  <c r="K50" i="52" s="1"/>
  <c r="D50" i="42"/>
  <c r="K50" i="51" s="1"/>
  <c r="C50" i="42"/>
  <c r="K50" i="11" s="1"/>
  <c r="G49" i="42"/>
  <c r="K49" i="54" s="1"/>
  <c r="F49" i="42"/>
  <c r="K49" i="53" s="1"/>
  <c r="E49" i="42"/>
  <c r="K49" i="52" s="1"/>
  <c r="D49" i="42"/>
  <c r="K49" i="51" s="1"/>
  <c r="C49" i="42"/>
  <c r="K49" i="11" s="1"/>
  <c r="G48" i="42"/>
  <c r="K48" i="54" s="1"/>
  <c r="F48" i="42"/>
  <c r="K48" i="53" s="1"/>
  <c r="E48" i="42"/>
  <c r="K48" i="52" s="1"/>
  <c r="D48" i="42"/>
  <c r="K48" i="51" s="1"/>
  <c r="C48" i="42"/>
  <c r="K48" i="11" s="1"/>
  <c r="G47" i="42"/>
  <c r="K47" i="54" s="1"/>
  <c r="F47" i="42"/>
  <c r="K47" i="53" s="1"/>
  <c r="E47" i="42"/>
  <c r="K47" i="52" s="1"/>
  <c r="D47" i="42"/>
  <c r="K47" i="51" s="1"/>
  <c r="C47" i="42"/>
  <c r="K47" i="11" s="1"/>
  <c r="G46" i="42"/>
  <c r="K46" i="54" s="1"/>
  <c r="F46" i="42"/>
  <c r="K46" i="53" s="1"/>
  <c r="E46" i="42"/>
  <c r="K46" i="52" s="1"/>
  <c r="D46" i="42"/>
  <c r="K46" i="51" s="1"/>
  <c r="C46" i="42"/>
  <c r="K46" i="11" s="1"/>
  <c r="G45" i="42"/>
  <c r="K45" i="54" s="1"/>
  <c r="F45" i="42"/>
  <c r="K45" i="53" s="1"/>
  <c r="E45" i="42"/>
  <c r="K45" i="52" s="1"/>
  <c r="D45" i="42"/>
  <c r="K45" i="51" s="1"/>
  <c r="C45" i="42"/>
  <c r="K45" i="11" s="1"/>
  <c r="G44" i="42"/>
  <c r="K44" i="54" s="1"/>
  <c r="F44" i="42"/>
  <c r="K44" i="53" s="1"/>
  <c r="E44" i="42"/>
  <c r="K44" i="52" s="1"/>
  <c r="D44" i="42"/>
  <c r="K44" i="51" s="1"/>
  <c r="C44" i="42"/>
  <c r="K44" i="11" s="1"/>
  <c r="G43" i="42"/>
  <c r="K43" i="54" s="1"/>
  <c r="F43" i="42"/>
  <c r="K43" i="53" s="1"/>
  <c r="E43" i="42"/>
  <c r="K43" i="52" s="1"/>
  <c r="D43" i="42"/>
  <c r="K43" i="51" s="1"/>
  <c r="C43" i="42"/>
  <c r="K43" i="11" s="1"/>
  <c r="G42" i="42"/>
  <c r="K42" i="54" s="1"/>
  <c r="F42" i="42"/>
  <c r="K42" i="53" s="1"/>
  <c r="E42" i="42"/>
  <c r="K42" i="52" s="1"/>
  <c r="D42" i="42"/>
  <c r="K42" i="51" s="1"/>
  <c r="C42" i="42"/>
  <c r="K42" i="11" s="1"/>
  <c r="G41" i="42"/>
  <c r="K41" i="54" s="1"/>
  <c r="F41" i="42"/>
  <c r="K41" i="53" s="1"/>
  <c r="E41" i="42"/>
  <c r="K41" i="52" s="1"/>
  <c r="D41" i="42"/>
  <c r="K41" i="51" s="1"/>
  <c r="C41" i="42"/>
  <c r="K41" i="11" s="1"/>
  <c r="G40" i="42"/>
  <c r="K40" i="54" s="1"/>
  <c r="F40" i="42"/>
  <c r="K40" i="53" s="1"/>
  <c r="E40" i="42"/>
  <c r="K40" i="52" s="1"/>
  <c r="D40" i="42"/>
  <c r="K40" i="51" s="1"/>
  <c r="C40" i="42"/>
  <c r="K40" i="11" s="1"/>
  <c r="G39" i="42"/>
  <c r="K39" i="54" s="1"/>
  <c r="F39" i="42"/>
  <c r="K39" i="53" s="1"/>
  <c r="E39" i="42"/>
  <c r="K39" i="52" s="1"/>
  <c r="D39" i="42"/>
  <c r="K39" i="51" s="1"/>
  <c r="C39" i="42"/>
  <c r="K39" i="11" s="1"/>
  <c r="G38" i="42"/>
  <c r="K38" i="54" s="1"/>
  <c r="F38" i="42"/>
  <c r="K38" i="53" s="1"/>
  <c r="E38" i="42"/>
  <c r="K38" i="52" s="1"/>
  <c r="D38" i="42"/>
  <c r="K38" i="51" s="1"/>
  <c r="C38" i="42"/>
  <c r="K38" i="11" s="1"/>
  <c r="G37" i="42"/>
  <c r="K37" i="54" s="1"/>
  <c r="F37" i="42"/>
  <c r="K37" i="53" s="1"/>
  <c r="E37" i="42"/>
  <c r="K37" i="52" s="1"/>
  <c r="D37" i="42"/>
  <c r="K37" i="51" s="1"/>
  <c r="C37" i="42"/>
  <c r="K37" i="11" s="1"/>
  <c r="G36" i="42"/>
  <c r="K36" i="54" s="1"/>
  <c r="F36" i="42"/>
  <c r="K36" i="53" s="1"/>
  <c r="E36" i="42"/>
  <c r="K36" i="52" s="1"/>
  <c r="D36" i="42"/>
  <c r="K36" i="51" s="1"/>
  <c r="C36" i="42"/>
  <c r="K36" i="11" s="1"/>
  <c r="G35" i="42"/>
  <c r="K35" i="54" s="1"/>
  <c r="F35" i="42"/>
  <c r="K35" i="53" s="1"/>
  <c r="E35" i="42"/>
  <c r="K35" i="52" s="1"/>
  <c r="D35" i="42"/>
  <c r="K35" i="51" s="1"/>
  <c r="C35" i="42"/>
  <c r="K35" i="11" s="1"/>
  <c r="G34" i="42"/>
  <c r="K34" i="54" s="1"/>
  <c r="F34" i="42"/>
  <c r="K34" i="53" s="1"/>
  <c r="E34" i="42"/>
  <c r="K34" i="52" s="1"/>
  <c r="D34" i="42"/>
  <c r="K34" i="51" s="1"/>
  <c r="C34" i="42"/>
  <c r="K34" i="11" s="1"/>
  <c r="G33" i="42"/>
  <c r="K33" i="54" s="1"/>
  <c r="F33" i="42"/>
  <c r="K33" i="53" s="1"/>
  <c r="E33" i="42"/>
  <c r="K33" i="52" s="1"/>
  <c r="D33" i="42"/>
  <c r="K33" i="51" s="1"/>
  <c r="C33" i="42"/>
  <c r="K33" i="11" s="1"/>
  <c r="G32" i="42"/>
  <c r="K32" i="54" s="1"/>
  <c r="F32" i="42"/>
  <c r="K32" i="53" s="1"/>
  <c r="E32" i="42"/>
  <c r="K32" i="52" s="1"/>
  <c r="D32" i="42"/>
  <c r="K32" i="51" s="1"/>
  <c r="C32" i="42"/>
  <c r="K32" i="11" s="1"/>
  <c r="G31" i="42"/>
  <c r="K31" i="54" s="1"/>
  <c r="F31" i="42"/>
  <c r="K31" i="53" s="1"/>
  <c r="E31" i="42"/>
  <c r="K31" i="52" s="1"/>
  <c r="D31" i="42"/>
  <c r="K31" i="51" s="1"/>
  <c r="C31" i="42"/>
  <c r="K31" i="11" s="1"/>
  <c r="G30" i="42"/>
  <c r="K30" i="54" s="1"/>
  <c r="F30" i="42"/>
  <c r="K30" i="53" s="1"/>
  <c r="E30" i="42"/>
  <c r="K30" i="52" s="1"/>
  <c r="D30" i="42"/>
  <c r="K30" i="51" s="1"/>
  <c r="C30" i="42"/>
  <c r="K30" i="11" s="1"/>
  <c r="G29" i="42"/>
  <c r="K29" i="54" s="1"/>
  <c r="F29" i="42"/>
  <c r="K29" i="53" s="1"/>
  <c r="E29" i="42"/>
  <c r="K29" i="52" s="1"/>
  <c r="D29" i="42"/>
  <c r="K29" i="51" s="1"/>
  <c r="C29" i="42"/>
  <c r="K29" i="11" s="1"/>
  <c r="G28" i="42"/>
  <c r="K28" i="54" s="1"/>
  <c r="F28" i="42"/>
  <c r="K28" i="53" s="1"/>
  <c r="E28" i="42"/>
  <c r="K28" i="52" s="1"/>
  <c r="D28" i="42"/>
  <c r="K28" i="51" s="1"/>
  <c r="C28" i="42"/>
  <c r="K28" i="11" s="1"/>
  <c r="G27" i="42"/>
  <c r="K27" i="54" s="1"/>
  <c r="F27" i="42"/>
  <c r="K27" i="53" s="1"/>
  <c r="E27" i="42"/>
  <c r="K27" i="52" s="1"/>
  <c r="D27" i="42"/>
  <c r="K27" i="51" s="1"/>
  <c r="C27" i="42"/>
  <c r="K27" i="11" s="1"/>
  <c r="G26" i="42"/>
  <c r="K26" i="54" s="1"/>
  <c r="F26" i="42"/>
  <c r="K26" i="53" s="1"/>
  <c r="E26" i="42"/>
  <c r="K26" i="52" s="1"/>
  <c r="D26" i="42"/>
  <c r="K26" i="51" s="1"/>
  <c r="C26" i="42"/>
  <c r="K26" i="11" s="1"/>
  <c r="G25" i="42"/>
  <c r="K25" i="54" s="1"/>
  <c r="F25" i="42"/>
  <c r="K25" i="53" s="1"/>
  <c r="E25" i="42"/>
  <c r="K25" i="52" s="1"/>
  <c r="D25" i="42"/>
  <c r="K25" i="51" s="1"/>
  <c r="C25" i="42"/>
  <c r="K25" i="11" s="1"/>
  <c r="G24" i="42"/>
  <c r="K24" i="54" s="1"/>
  <c r="F24" i="42"/>
  <c r="K24" i="53" s="1"/>
  <c r="E24" i="42"/>
  <c r="K24" i="52" s="1"/>
  <c r="D24" i="42"/>
  <c r="K24" i="51" s="1"/>
  <c r="C24" i="42"/>
  <c r="K24" i="11" s="1"/>
  <c r="G23" i="42"/>
  <c r="K23" i="54" s="1"/>
  <c r="F23" i="42"/>
  <c r="K23" i="53" s="1"/>
  <c r="E23" i="42"/>
  <c r="K23" i="52" s="1"/>
  <c r="D23" i="42"/>
  <c r="K23" i="51" s="1"/>
  <c r="C23" i="42"/>
  <c r="K23" i="11" s="1"/>
  <c r="G22" i="42"/>
  <c r="K22" i="54" s="1"/>
  <c r="F22" i="42"/>
  <c r="K22" i="53" s="1"/>
  <c r="E22" i="42"/>
  <c r="K22" i="52" s="1"/>
  <c r="D22" i="42"/>
  <c r="K22" i="51" s="1"/>
  <c r="C22" i="42"/>
  <c r="K22" i="11" s="1"/>
  <c r="G21" i="42"/>
  <c r="K21" i="54" s="1"/>
  <c r="F21" i="42"/>
  <c r="K21" i="53" s="1"/>
  <c r="E21" i="42"/>
  <c r="K21" i="52" s="1"/>
  <c r="D21" i="42"/>
  <c r="K21" i="51" s="1"/>
  <c r="C21" i="42"/>
  <c r="K21" i="11" s="1"/>
  <c r="G20" i="42"/>
  <c r="K20" i="54" s="1"/>
  <c r="F20" i="42"/>
  <c r="K20" i="53" s="1"/>
  <c r="E20" i="42"/>
  <c r="K20" i="52" s="1"/>
  <c r="D20" i="42"/>
  <c r="K20" i="51" s="1"/>
  <c r="C20" i="42"/>
  <c r="K20" i="11" s="1"/>
  <c r="G19" i="42"/>
  <c r="K19" i="54" s="1"/>
  <c r="F19" i="42"/>
  <c r="K19" i="53" s="1"/>
  <c r="E19" i="42"/>
  <c r="K19" i="52" s="1"/>
  <c r="D19" i="42"/>
  <c r="K19" i="51" s="1"/>
  <c r="C19" i="42"/>
  <c r="K19" i="11" s="1"/>
  <c r="G18" i="42"/>
  <c r="K18" i="54" s="1"/>
  <c r="F18" i="42"/>
  <c r="K18" i="53" s="1"/>
  <c r="E18" i="42"/>
  <c r="K18" i="52" s="1"/>
  <c r="D18" i="42"/>
  <c r="K18" i="51" s="1"/>
  <c r="C18" i="42"/>
  <c r="K18" i="11" s="1"/>
  <c r="G17" i="42"/>
  <c r="K17" i="54" s="1"/>
  <c r="F17" i="42"/>
  <c r="K17" i="53" s="1"/>
  <c r="E17" i="42"/>
  <c r="K17" i="52" s="1"/>
  <c r="D17" i="42"/>
  <c r="K17" i="51" s="1"/>
  <c r="C17" i="42"/>
  <c r="K17" i="11" s="1"/>
  <c r="G16" i="42"/>
  <c r="K16" i="54" s="1"/>
  <c r="F16" i="42"/>
  <c r="K16" i="53" s="1"/>
  <c r="E16" i="42"/>
  <c r="K16" i="52" s="1"/>
  <c r="D16" i="42"/>
  <c r="K16" i="51" s="1"/>
  <c r="C16" i="42"/>
  <c r="K16" i="11" s="1"/>
  <c r="G15" i="42"/>
  <c r="K15" i="54" s="1"/>
  <c r="F15" i="42"/>
  <c r="K15" i="53" s="1"/>
  <c r="E15" i="42"/>
  <c r="K15" i="52" s="1"/>
  <c r="D15" i="42"/>
  <c r="K15" i="51" s="1"/>
  <c r="C15" i="42"/>
  <c r="K15" i="11" s="1"/>
  <c r="G14" i="42"/>
  <c r="K14" i="54" s="1"/>
  <c r="F14" i="42"/>
  <c r="K14" i="53" s="1"/>
  <c r="E14" i="42"/>
  <c r="K14" i="52" s="1"/>
  <c r="D14" i="42"/>
  <c r="K14" i="51" s="1"/>
  <c r="C14" i="42"/>
  <c r="K14" i="11" s="1"/>
  <c r="G13" i="42"/>
  <c r="K13" i="54" s="1"/>
  <c r="F13" i="42"/>
  <c r="K13" i="53" s="1"/>
  <c r="E13" i="42"/>
  <c r="K13" i="52" s="1"/>
  <c r="D13" i="42"/>
  <c r="K13" i="51" s="1"/>
  <c r="C13" i="42"/>
  <c r="K13" i="11" s="1"/>
  <c r="G12" i="42"/>
  <c r="K12" i="54" s="1"/>
  <c r="F12" i="42"/>
  <c r="K12" i="53" s="1"/>
  <c r="E12" i="42"/>
  <c r="K12" i="52" s="1"/>
  <c r="D12" i="42"/>
  <c r="K12" i="51" s="1"/>
  <c r="C12" i="42"/>
  <c r="K12" i="11" s="1"/>
  <c r="G11" i="42"/>
  <c r="K11" i="54" s="1"/>
  <c r="F11" i="42"/>
  <c r="K11" i="53" s="1"/>
  <c r="E11" i="42"/>
  <c r="K11" i="52" s="1"/>
  <c r="D11" i="42"/>
  <c r="K11" i="51" s="1"/>
  <c r="C11" i="42"/>
  <c r="K11" i="11" s="1"/>
  <c r="G10" i="42"/>
  <c r="K10" i="54" s="1"/>
  <c r="F10" i="42"/>
  <c r="K10" i="53" s="1"/>
  <c r="E10" i="42"/>
  <c r="K10" i="52" s="1"/>
  <c r="D10" i="42"/>
  <c r="K10" i="51" s="1"/>
  <c r="C10" i="42"/>
  <c r="K10" i="11" s="1"/>
  <c r="G9" i="42"/>
  <c r="K9" i="54" s="1"/>
  <c r="F9" i="42"/>
  <c r="K9" i="53" s="1"/>
  <c r="E9" i="42"/>
  <c r="K9" i="52" s="1"/>
  <c r="D9" i="42"/>
  <c r="K9" i="51" s="1"/>
  <c r="C9" i="42"/>
  <c r="K9" i="11" s="1"/>
  <c r="G58" i="41"/>
  <c r="L58" i="54" s="1"/>
  <c r="F58" i="41"/>
  <c r="L58" i="53" s="1"/>
  <c r="E58" i="41"/>
  <c r="L58" i="52" s="1"/>
  <c r="D58" i="41"/>
  <c r="L58" i="51" s="1"/>
  <c r="C58" i="41"/>
  <c r="L58" i="11" s="1"/>
  <c r="G57" i="41"/>
  <c r="L57" i="54" s="1"/>
  <c r="F57" i="41"/>
  <c r="L57" i="53" s="1"/>
  <c r="E57" i="41"/>
  <c r="L57" i="52" s="1"/>
  <c r="D57" i="41"/>
  <c r="L57" i="51" s="1"/>
  <c r="C57" i="41"/>
  <c r="L57" i="11" s="1"/>
  <c r="G56" i="41"/>
  <c r="L56" i="54" s="1"/>
  <c r="F56" i="41"/>
  <c r="L56" i="53" s="1"/>
  <c r="E56" i="41"/>
  <c r="L56" i="52" s="1"/>
  <c r="D56" i="41"/>
  <c r="L56" i="51" s="1"/>
  <c r="C56" i="41"/>
  <c r="L56" i="11" s="1"/>
  <c r="G55" i="41"/>
  <c r="L55" i="54" s="1"/>
  <c r="F55" i="41"/>
  <c r="L55" i="53" s="1"/>
  <c r="E55" i="41"/>
  <c r="L55" i="52" s="1"/>
  <c r="D55" i="41"/>
  <c r="L55" i="51" s="1"/>
  <c r="C55" i="41"/>
  <c r="L55" i="11" s="1"/>
  <c r="G54" i="41"/>
  <c r="L54" i="54" s="1"/>
  <c r="F54" i="41"/>
  <c r="L54" i="53" s="1"/>
  <c r="E54" i="41"/>
  <c r="L54" i="52" s="1"/>
  <c r="D54" i="41"/>
  <c r="L54" i="51" s="1"/>
  <c r="C54" i="41"/>
  <c r="L54" i="11" s="1"/>
  <c r="G53" i="41"/>
  <c r="L53" i="54" s="1"/>
  <c r="F53" i="41"/>
  <c r="L53" i="53" s="1"/>
  <c r="E53" i="41"/>
  <c r="L53" i="52" s="1"/>
  <c r="D53" i="41"/>
  <c r="L53" i="51" s="1"/>
  <c r="C53" i="41"/>
  <c r="L53" i="11" s="1"/>
  <c r="G52" i="41"/>
  <c r="L52" i="54" s="1"/>
  <c r="F52" i="41"/>
  <c r="L52" i="53" s="1"/>
  <c r="E52" i="41"/>
  <c r="L52" i="52" s="1"/>
  <c r="D52" i="41"/>
  <c r="L52" i="51" s="1"/>
  <c r="C52" i="41"/>
  <c r="L52" i="11" s="1"/>
  <c r="G51" i="41"/>
  <c r="L51" i="54" s="1"/>
  <c r="F51" i="41"/>
  <c r="L51" i="53" s="1"/>
  <c r="E51" i="41"/>
  <c r="L51" i="52" s="1"/>
  <c r="D51" i="41"/>
  <c r="L51" i="51" s="1"/>
  <c r="C51" i="41"/>
  <c r="L51" i="11" s="1"/>
  <c r="G50" i="41"/>
  <c r="L50" i="54" s="1"/>
  <c r="F50" i="41"/>
  <c r="L50" i="53" s="1"/>
  <c r="E50" i="41"/>
  <c r="L50" i="52" s="1"/>
  <c r="D50" i="41"/>
  <c r="L50" i="51" s="1"/>
  <c r="C50" i="41"/>
  <c r="L50" i="11" s="1"/>
  <c r="G49" i="41"/>
  <c r="L49" i="54" s="1"/>
  <c r="F49" i="41"/>
  <c r="L49" i="53" s="1"/>
  <c r="E49" i="41"/>
  <c r="L49" i="52" s="1"/>
  <c r="D49" i="41"/>
  <c r="L49" i="51" s="1"/>
  <c r="C49" i="41"/>
  <c r="L49" i="11" s="1"/>
  <c r="G48" i="41"/>
  <c r="L48" i="54" s="1"/>
  <c r="F48" i="41"/>
  <c r="L48" i="53" s="1"/>
  <c r="E48" i="41"/>
  <c r="L48" i="52" s="1"/>
  <c r="D48" i="41"/>
  <c r="L48" i="51" s="1"/>
  <c r="C48" i="41"/>
  <c r="L48" i="11" s="1"/>
  <c r="G47" i="41"/>
  <c r="L47" i="54" s="1"/>
  <c r="F47" i="41"/>
  <c r="L47" i="53" s="1"/>
  <c r="E47" i="41"/>
  <c r="L47" i="52" s="1"/>
  <c r="D47" i="41"/>
  <c r="L47" i="51" s="1"/>
  <c r="C47" i="41"/>
  <c r="L47" i="11" s="1"/>
  <c r="G46" i="41"/>
  <c r="L46" i="54" s="1"/>
  <c r="F46" i="41"/>
  <c r="L46" i="53" s="1"/>
  <c r="E46" i="41"/>
  <c r="L46" i="52" s="1"/>
  <c r="D46" i="41"/>
  <c r="L46" i="51" s="1"/>
  <c r="C46" i="41"/>
  <c r="L46" i="11" s="1"/>
  <c r="G45" i="41"/>
  <c r="L45" i="54" s="1"/>
  <c r="F45" i="41"/>
  <c r="L45" i="53" s="1"/>
  <c r="E45" i="41"/>
  <c r="L45" i="52" s="1"/>
  <c r="D45" i="41"/>
  <c r="L45" i="51" s="1"/>
  <c r="C45" i="41"/>
  <c r="L45" i="11" s="1"/>
  <c r="G44" i="41"/>
  <c r="L44" i="54" s="1"/>
  <c r="F44" i="41"/>
  <c r="L44" i="53" s="1"/>
  <c r="E44" i="41"/>
  <c r="L44" i="52" s="1"/>
  <c r="D44" i="41"/>
  <c r="L44" i="51" s="1"/>
  <c r="C44" i="41"/>
  <c r="L44" i="11" s="1"/>
  <c r="G43" i="41"/>
  <c r="L43" i="54" s="1"/>
  <c r="F43" i="41"/>
  <c r="L43" i="53" s="1"/>
  <c r="E43" i="41"/>
  <c r="L43" i="52" s="1"/>
  <c r="D43" i="41"/>
  <c r="L43" i="51" s="1"/>
  <c r="C43" i="41"/>
  <c r="L43" i="11" s="1"/>
  <c r="G42" i="41"/>
  <c r="L42" i="54" s="1"/>
  <c r="F42" i="41"/>
  <c r="L42" i="53" s="1"/>
  <c r="E42" i="41"/>
  <c r="L42" i="52" s="1"/>
  <c r="D42" i="41"/>
  <c r="L42" i="51" s="1"/>
  <c r="C42" i="41"/>
  <c r="L42" i="11" s="1"/>
  <c r="G41" i="41"/>
  <c r="L41" i="54" s="1"/>
  <c r="F41" i="41"/>
  <c r="L41" i="53" s="1"/>
  <c r="E41" i="41"/>
  <c r="L41" i="52" s="1"/>
  <c r="D41" i="41"/>
  <c r="L41" i="51" s="1"/>
  <c r="C41" i="41"/>
  <c r="L41" i="11" s="1"/>
  <c r="G40" i="41"/>
  <c r="L40" i="54" s="1"/>
  <c r="F40" i="41"/>
  <c r="L40" i="53" s="1"/>
  <c r="E40" i="41"/>
  <c r="L40" i="52" s="1"/>
  <c r="D40" i="41"/>
  <c r="L40" i="51" s="1"/>
  <c r="C40" i="41"/>
  <c r="L40" i="11" s="1"/>
  <c r="G39" i="41"/>
  <c r="L39" i="54" s="1"/>
  <c r="F39" i="41"/>
  <c r="L39" i="53" s="1"/>
  <c r="E39" i="41"/>
  <c r="L39" i="52" s="1"/>
  <c r="D39" i="41"/>
  <c r="L39" i="51" s="1"/>
  <c r="C39" i="41"/>
  <c r="L39" i="11" s="1"/>
  <c r="G38" i="41"/>
  <c r="L38" i="54" s="1"/>
  <c r="F38" i="41"/>
  <c r="L38" i="53" s="1"/>
  <c r="E38" i="41"/>
  <c r="L38" i="52" s="1"/>
  <c r="D38" i="41"/>
  <c r="L38" i="51" s="1"/>
  <c r="C38" i="41"/>
  <c r="L38" i="11" s="1"/>
  <c r="G37" i="41"/>
  <c r="L37" i="54" s="1"/>
  <c r="F37" i="41"/>
  <c r="L37" i="53" s="1"/>
  <c r="E37" i="41"/>
  <c r="L37" i="52" s="1"/>
  <c r="D37" i="41"/>
  <c r="L37" i="51" s="1"/>
  <c r="C37" i="41"/>
  <c r="L37" i="11" s="1"/>
  <c r="G36" i="41"/>
  <c r="L36" i="54" s="1"/>
  <c r="F36" i="41"/>
  <c r="L36" i="53" s="1"/>
  <c r="E36" i="41"/>
  <c r="L36" i="52" s="1"/>
  <c r="D36" i="41"/>
  <c r="L36" i="51" s="1"/>
  <c r="C36" i="41"/>
  <c r="L36" i="11" s="1"/>
  <c r="G35" i="41"/>
  <c r="L35" i="54" s="1"/>
  <c r="F35" i="41"/>
  <c r="L35" i="53" s="1"/>
  <c r="E35" i="41"/>
  <c r="L35" i="52" s="1"/>
  <c r="D35" i="41"/>
  <c r="L35" i="51" s="1"/>
  <c r="C35" i="41"/>
  <c r="L35" i="11" s="1"/>
  <c r="G34" i="41"/>
  <c r="L34" i="54" s="1"/>
  <c r="F34" i="41"/>
  <c r="L34" i="53" s="1"/>
  <c r="E34" i="41"/>
  <c r="L34" i="52" s="1"/>
  <c r="D34" i="41"/>
  <c r="L34" i="51" s="1"/>
  <c r="C34" i="41"/>
  <c r="L34" i="11" s="1"/>
  <c r="G33" i="41"/>
  <c r="L33" i="54" s="1"/>
  <c r="F33" i="41"/>
  <c r="L33" i="53" s="1"/>
  <c r="E33" i="41"/>
  <c r="L33" i="52" s="1"/>
  <c r="D33" i="41"/>
  <c r="L33" i="51" s="1"/>
  <c r="C33" i="41"/>
  <c r="L33" i="11" s="1"/>
  <c r="G32" i="41"/>
  <c r="L32" i="54" s="1"/>
  <c r="F32" i="41"/>
  <c r="L32" i="53" s="1"/>
  <c r="E32" i="41"/>
  <c r="L32" i="52" s="1"/>
  <c r="D32" i="41"/>
  <c r="L32" i="51" s="1"/>
  <c r="C32" i="41"/>
  <c r="L32" i="11" s="1"/>
  <c r="G31" i="41"/>
  <c r="L31" i="54" s="1"/>
  <c r="F31" i="41"/>
  <c r="L31" i="53" s="1"/>
  <c r="E31" i="41"/>
  <c r="L31" i="52" s="1"/>
  <c r="D31" i="41"/>
  <c r="L31" i="51" s="1"/>
  <c r="C31" i="41"/>
  <c r="L31" i="11" s="1"/>
  <c r="G30" i="41"/>
  <c r="L30" i="54" s="1"/>
  <c r="F30" i="41"/>
  <c r="L30" i="53" s="1"/>
  <c r="E30" i="41"/>
  <c r="L30" i="52" s="1"/>
  <c r="D30" i="41"/>
  <c r="L30" i="51" s="1"/>
  <c r="C30" i="41"/>
  <c r="L30" i="11" s="1"/>
  <c r="G29" i="41"/>
  <c r="L29" i="54" s="1"/>
  <c r="F29" i="41"/>
  <c r="L29" i="53" s="1"/>
  <c r="E29" i="41"/>
  <c r="L29" i="52" s="1"/>
  <c r="D29" i="41"/>
  <c r="L29" i="51" s="1"/>
  <c r="C29" i="41"/>
  <c r="L29" i="11" s="1"/>
  <c r="G28" i="41"/>
  <c r="L28" i="54" s="1"/>
  <c r="F28" i="41"/>
  <c r="L28" i="53" s="1"/>
  <c r="E28" i="41"/>
  <c r="L28" i="52" s="1"/>
  <c r="D28" i="41"/>
  <c r="L28" i="51" s="1"/>
  <c r="C28" i="41"/>
  <c r="L28" i="11" s="1"/>
  <c r="G27" i="41"/>
  <c r="L27" i="54" s="1"/>
  <c r="F27" i="41"/>
  <c r="L27" i="53" s="1"/>
  <c r="E27" i="41"/>
  <c r="L27" i="52" s="1"/>
  <c r="D27" i="41"/>
  <c r="L27" i="51" s="1"/>
  <c r="C27" i="41"/>
  <c r="L27" i="11" s="1"/>
  <c r="G26" i="41"/>
  <c r="L26" i="54" s="1"/>
  <c r="F26" i="41"/>
  <c r="L26" i="53" s="1"/>
  <c r="E26" i="41"/>
  <c r="L26" i="52" s="1"/>
  <c r="D26" i="41"/>
  <c r="L26" i="51" s="1"/>
  <c r="C26" i="41"/>
  <c r="L26" i="11" s="1"/>
  <c r="G25" i="41"/>
  <c r="L25" i="54" s="1"/>
  <c r="F25" i="41"/>
  <c r="L25" i="53" s="1"/>
  <c r="E25" i="41"/>
  <c r="L25" i="52" s="1"/>
  <c r="D25" i="41"/>
  <c r="L25" i="51" s="1"/>
  <c r="C25" i="41"/>
  <c r="L25" i="11" s="1"/>
  <c r="G24" i="41"/>
  <c r="L24" i="54" s="1"/>
  <c r="F24" i="41"/>
  <c r="L24" i="53" s="1"/>
  <c r="E24" i="41"/>
  <c r="L24" i="52" s="1"/>
  <c r="D24" i="41"/>
  <c r="L24" i="51" s="1"/>
  <c r="C24" i="41"/>
  <c r="L24" i="11" s="1"/>
  <c r="G23" i="41"/>
  <c r="L23" i="54" s="1"/>
  <c r="F23" i="41"/>
  <c r="L23" i="53" s="1"/>
  <c r="E23" i="41"/>
  <c r="L23" i="52" s="1"/>
  <c r="D23" i="41"/>
  <c r="L23" i="51" s="1"/>
  <c r="C23" i="41"/>
  <c r="L23" i="11" s="1"/>
  <c r="G22" i="41"/>
  <c r="L22" i="54" s="1"/>
  <c r="F22" i="41"/>
  <c r="L22" i="53" s="1"/>
  <c r="E22" i="41"/>
  <c r="L22" i="52" s="1"/>
  <c r="D22" i="41"/>
  <c r="L22" i="51" s="1"/>
  <c r="C22" i="41"/>
  <c r="L22" i="11" s="1"/>
  <c r="G21" i="41"/>
  <c r="L21" i="54" s="1"/>
  <c r="F21" i="41"/>
  <c r="L21" i="53" s="1"/>
  <c r="E21" i="41"/>
  <c r="L21" i="52" s="1"/>
  <c r="D21" i="41"/>
  <c r="L21" i="51" s="1"/>
  <c r="C21" i="41"/>
  <c r="L21" i="11" s="1"/>
  <c r="G20" i="41"/>
  <c r="L20" i="54" s="1"/>
  <c r="F20" i="41"/>
  <c r="L20" i="53" s="1"/>
  <c r="E20" i="41"/>
  <c r="L20" i="52" s="1"/>
  <c r="D20" i="41"/>
  <c r="L20" i="51" s="1"/>
  <c r="C20" i="41"/>
  <c r="L20" i="11" s="1"/>
  <c r="G19" i="41"/>
  <c r="L19" i="54" s="1"/>
  <c r="F19" i="41"/>
  <c r="L19" i="53" s="1"/>
  <c r="E19" i="41"/>
  <c r="L19" i="52" s="1"/>
  <c r="D19" i="41"/>
  <c r="L19" i="51" s="1"/>
  <c r="C19" i="41"/>
  <c r="L19" i="11" s="1"/>
  <c r="G18" i="41"/>
  <c r="L18" i="54" s="1"/>
  <c r="F18" i="41"/>
  <c r="L18" i="53" s="1"/>
  <c r="E18" i="41"/>
  <c r="L18" i="52" s="1"/>
  <c r="D18" i="41"/>
  <c r="L18" i="51" s="1"/>
  <c r="C18" i="41"/>
  <c r="L18" i="11" s="1"/>
  <c r="G17" i="41"/>
  <c r="L17" i="54" s="1"/>
  <c r="F17" i="41"/>
  <c r="L17" i="53" s="1"/>
  <c r="E17" i="41"/>
  <c r="L17" i="52" s="1"/>
  <c r="D17" i="41"/>
  <c r="L17" i="51" s="1"/>
  <c r="C17" i="41"/>
  <c r="L17" i="11" s="1"/>
  <c r="G16" i="41"/>
  <c r="L16" i="54" s="1"/>
  <c r="F16" i="41"/>
  <c r="L16" i="53" s="1"/>
  <c r="E16" i="41"/>
  <c r="L16" i="52" s="1"/>
  <c r="D16" i="41"/>
  <c r="L16" i="51" s="1"/>
  <c r="C16" i="41"/>
  <c r="L16" i="11" s="1"/>
  <c r="G15" i="41"/>
  <c r="L15" i="54" s="1"/>
  <c r="F15" i="41"/>
  <c r="L15" i="53" s="1"/>
  <c r="E15" i="41"/>
  <c r="L15" i="52" s="1"/>
  <c r="D15" i="41"/>
  <c r="L15" i="51" s="1"/>
  <c r="C15" i="41"/>
  <c r="L15" i="11" s="1"/>
  <c r="G14" i="41"/>
  <c r="L14" i="54" s="1"/>
  <c r="F14" i="41"/>
  <c r="L14" i="53" s="1"/>
  <c r="E14" i="41"/>
  <c r="L14" i="52" s="1"/>
  <c r="D14" i="41"/>
  <c r="L14" i="51" s="1"/>
  <c r="C14" i="41"/>
  <c r="L14" i="11" s="1"/>
  <c r="G13" i="41"/>
  <c r="L13" i="54" s="1"/>
  <c r="F13" i="41"/>
  <c r="L13" i="53" s="1"/>
  <c r="E13" i="41"/>
  <c r="L13" i="52" s="1"/>
  <c r="D13" i="41"/>
  <c r="L13" i="51" s="1"/>
  <c r="C13" i="41"/>
  <c r="L13" i="11" s="1"/>
  <c r="G12" i="41"/>
  <c r="L12" i="54" s="1"/>
  <c r="F12" i="41"/>
  <c r="L12" i="53" s="1"/>
  <c r="E12" i="41"/>
  <c r="L12" i="52" s="1"/>
  <c r="D12" i="41"/>
  <c r="L12" i="51" s="1"/>
  <c r="C12" i="41"/>
  <c r="L12" i="11" s="1"/>
  <c r="G11" i="41"/>
  <c r="L11" i="54" s="1"/>
  <c r="F11" i="41"/>
  <c r="L11" i="53" s="1"/>
  <c r="E11" i="41"/>
  <c r="L11" i="52" s="1"/>
  <c r="D11" i="41"/>
  <c r="L11" i="51" s="1"/>
  <c r="C11" i="41"/>
  <c r="L11" i="11" s="1"/>
  <c r="G10" i="41"/>
  <c r="L10" i="54" s="1"/>
  <c r="F10" i="41"/>
  <c r="L10" i="53" s="1"/>
  <c r="E10" i="41"/>
  <c r="L10" i="52" s="1"/>
  <c r="D10" i="41"/>
  <c r="L10" i="51" s="1"/>
  <c r="C10" i="41"/>
  <c r="L10" i="11" s="1"/>
  <c r="G9" i="41"/>
  <c r="L9" i="54" s="1"/>
  <c r="F9" i="41"/>
  <c r="L9" i="53" s="1"/>
  <c r="E9" i="41"/>
  <c r="L9" i="52" s="1"/>
  <c r="D9" i="41"/>
  <c r="L9" i="51" s="1"/>
  <c r="C9" i="41"/>
  <c r="L9" i="11" s="1"/>
  <c r="G58" i="40"/>
  <c r="M58" i="54" s="1"/>
  <c r="F58" i="40"/>
  <c r="M58" i="53" s="1"/>
  <c r="E58" i="40"/>
  <c r="M58" i="52" s="1"/>
  <c r="D58" i="40"/>
  <c r="M58" i="51" s="1"/>
  <c r="C58" i="40"/>
  <c r="M58" i="11" s="1"/>
  <c r="G57" i="40"/>
  <c r="M57" i="54" s="1"/>
  <c r="F57" i="40"/>
  <c r="M57" i="53" s="1"/>
  <c r="E57" i="40"/>
  <c r="M57" i="52" s="1"/>
  <c r="D57" i="40"/>
  <c r="M57" i="51" s="1"/>
  <c r="C57" i="40"/>
  <c r="M57" i="11" s="1"/>
  <c r="G56" i="40"/>
  <c r="M56" i="54" s="1"/>
  <c r="F56" i="40"/>
  <c r="M56" i="53" s="1"/>
  <c r="E56" i="40"/>
  <c r="M56" i="52" s="1"/>
  <c r="D56" i="40"/>
  <c r="M56" i="51" s="1"/>
  <c r="C56" i="40"/>
  <c r="M56" i="11" s="1"/>
  <c r="G55" i="40"/>
  <c r="M55" i="54" s="1"/>
  <c r="F55" i="40"/>
  <c r="M55" i="53" s="1"/>
  <c r="E55" i="40"/>
  <c r="M55" i="52" s="1"/>
  <c r="D55" i="40"/>
  <c r="M55" i="51" s="1"/>
  <c r="C55" i="40"/>
  <c r="M55" i="11" s="1"/>
  <c r="G54" i="40"/>
  <c r="M54" i="54" s="1"/>
  <c r="F54" i="40"/>
  <c r="M54" i="53" s="1"/>
  <c r="E54" i="40"/>
  <c r="M54" i="52" s="1"/>
  <c r="D54" i="40"/>
  <c r="M54" i="51" s="1"/>
  <c r="C54" i="40"/>
  <c r="M54" i="11" s="1"/>
  <c r="G53" i="40"/>
  <c r="M53" i="54" s="1"/>
  <c r="F53" i="40"/>
  <c r="M53" i="53" s="1"/>
  <c r="E53" i="40"/>
  <c r="M53" i="52" s="1"/>
  <c r="D53" i="40"/>
  <c r="M53" i="51" s="1"/>
  <c r="C53" i="40"/>
  <c r="M53" i="11" s="1"/>
  <c r="G52" i="40"/>
  <c r="M52" i="54" s="1"/>
  <c r="F52" i="40"/>
  <c r="M52" i="53" s="1"/>
  <c r="E52" i="40"/>
  <c r="M52" i="52" s="1"/>
  <c r="D52" i="40"/>
  <c r="M52" i="51" s="1"/>
  <c r="C52" i="40"/>
  <c r="M52" i="11" s="1"/>
  <c r="G51" i="40"/>
  <c r="M51" i="54" s="1"/>
  <c r="F51" i="40"/>
  <c r="M51" i="53" s="1"/>
  <c r="E51" i="40"/>
  <c r="M51" i="52" s="1"/>
  <c r="D51" i="40"/>
  <c r="M51" i="51" s="1"/>
  <c r="C51" i="40"/>
  <c r="M51" i="11" s="1"/>
  <c r="G50" i="40"/>
  <c r="M50" i="54" s="1"/>
  <c r="F50" i="40"/>
  <c r="M50" i="53" s="1"/>
  <c r="E50" i="40"/>
  <c r="M50" i="52" s="1"/>
  <c r="D50" i="40"/>
  <c r="M50" i="51" s="1"/>
  <c r="C50" i="40"/>
  <c r="M50" i="11" s="1"/>
  <c r="G49" i="40"/>
  <c r="M49" i="54" s="1"/>
  <c r="F49" i="40"/>
  <c r="M49" i="53" s="1"/>
  <c r="E49" i="40"/>
  <c r="M49" i="52" s="1"/>
  <c r="D49" i="40"/>
  <c r="M49" i="51" s="1"/>
  <c r="C49" i="40"/>
  <c r="M49" i="11" s="1"/>
  <c r="G48" i="40"/>
  <c r="M48" i="54" s="1"/>
  <c r="F48" i="40"/>
  <c r="M48" i="53" s="1"/>
  <c r="E48" i="40"/>
  <c r="M48" i="52" s="1"/>
  <c r="D48" i="40"/>
  <c r="M48" i="51" s="1"/>
  <c r="C48" i="40"/>
  <c r="M48" i="11" s="1"/>
  <c r="G47" i="40"/>
  <c r="M47" i="54" s="1"/>
  <c r="F47" i="40"/>
  <c r="M47" i="53" s="1"/>
  <c r="E47" i="40"/>
  <c r="M47" i="52" s="1"/>
  <c r="D47" i="40"/>
  <c r="M47" i="51" s="1"/>
  <c r="C47" i="40"/>
  <c r="M47" i="11" s="1"/>
  <c r="G46" i="40"/>
  <c r="M46" i="54" s="1"/>
  <c r="F46" i="40"/>
  <c r="M46" i="53" s="1"/>
  <c r="E46" i="40"/>
  <c r="M46" i="52" s="1"/>
  <c r="D46" i="40"/>
  <c r="M46" i="51" s="1"/>
  <c r="C46" i="40"/>
  <c r="M46" i="11" s="1"/>
  <c r="G45" i="40"/>
  <c r="M45" i="54" s="1"/>
  <c r="F45" i="40"/>
  <c r="M45" i="53" s="1"/>
  <c r="E45" i="40"/>
  <c r="M45" i="52" s="1"/>
  <c r="D45" i="40"/>
  <c r="M45" i="51" s="1"/>
  <c r="C45" i="40"/>
  <c r="M45" i="11" s="1"/>
  <c r="G44" i="40"/>
  <c r="M44" i="54" s="1"/>
  <c r="F44" i="40"/>
  <c r="M44" i="53" s="1"/>
  <c r="E44" i="40"/>
  <c r="M44" i="52" s="1"/>
  <c r="D44" i="40"/>
  <c r="M44" i="51" s="1"/>
  <c r="C44" i="40"/>
  <c r="M44" i="11" s="1"/>
  <c r="G43" i="40"/>
  <c r="M43" i="54" s="1"/>
  <c r="F43" i="40"/>
  <c r="M43" i="53" s="1"/>
  <c r="E43" i="40"/>
  <c r="M43" i="52" s="1"/>
  <c r="D43" i="40"/>
  <c r="M43" i="51" s="1"/>
  <c r="C43" i="40"/>
  <c r="M43" i="11" s="1"/>
  <c r="G42" i="40"/>
  <c r="M42" i="54" s="1"/>
  <c r="F42" i="40"/>
  <c r="M42" i="53" s="1"/>
  <c r="E42" i="40"/>
  <c r="M42" i="52" s="1"/>
  <c r="D42" i="40"/>
  <c r="M42" i="51" s="1"/>
  <c r="C42" i="40"/>
  <c r="M42" i="11" s="1"/>
  <c r="G41" i="40"/>
  <c r="M41" i="54" s="1"/>
  <c r="F41" i="40"/>
  <c r="M41" i="53" s="1"/>
  <c r="E41" i="40"/>
  <c r="M41" i="52" s="1"/>
  <c r="D41" i="40"/>
  <c r="M41" i="51" s="1"/>
  <c r="C41" i="40"/>
  <c r="M41" i="11" s="1"/>
  <c r="G40" i="40"/>
  <c r="M40" i="54" s="1"/>
  <c r="F40" i="40"/>
  <c r="M40" i="53" s="1"/>
  <c r="E40" i="40"/>
  <c r="M40" i="52" s="1"/>
  <c r="D40" i="40"/>
  <c r="M40" i="51" s="1"/>
  <c r="C40" i="40"/>
  <c r="M40" i="11" s="1"/>
  <c r="G39" i="40"/>
  <c r="M39" i="54" s="1"/>
  <c r="F39" i="40"/>
  <c r="M39" i="53" s="1"/>
  <c r="E39" i="40"/>
  <c r="M39" i="52" s="1"/>
  <c r="D39" i="40"/>
  <c r="M39" i="51" s="1"/>
  <c r="C39" i="40"/>
  <c r="M39" i="11" s="1"/>
  <c r="G38" i="40"/>
  <c r="M38" i="54" s="1"/>
  <c r="F38" i="40"/>
  <c r="M38" i="53" s="1"/>
  <c r="E38" i="40"/>
  <c r="M38" i="52" s="1"/>
  <c r="D38" i="40"/>
  <c r="M38" i="51" s="1"/>
  <c r="C38" i="40"/>
  <c r="M38" i="11" s="1"/>
  <c r="G37" i="40"/>
  <c r="M37" i="54" s="1"/>
  <c r="F37" i="40"/>
  <c r="M37" i="53" s="1"/>
  <c r="E37" i="40"/>
  <c r="M37" i="52" s="1"/>
  <c r="D37" i="40"/>
  <c r="M37" i="51" s="1"/>
  <c r="C37" i="40"/>
  <c r="M37" i="11" s="1"/>
  <c r="G36" i="40"/>
  <c r="M36" i="54" s="1"/>
  <c r="F36" i="40"/>
  <c r="M36" i="53" s="1"/>
  <c r="E36" i="40"/>
  <c r="M36" i="52" s="1"/>
  <c r="D36" i="40"/>
  <c r="M36" i="51" s="1"/>
  <c r="C36" i="40"/>
  <c r="M36" i="11" s="1"/>
  <c r="G35" i="40"/>
  <c r="M35" i="54" s="1"/>
  <c r="F35" i="40"/>
  <c r="M35" i="53" s="1"/>
  <c r="E35" i="40"/>
  <c r="M35" i="52" s="1"/>
  <c r="D35" i="40"/>
  <c r="M35" i="51" s="1"/>
  <c r="C35" i="40"/>
  <c r="M35" i="11" s="1"/>
  <c r="G34" i="40"/>
  <c r="M34" i="54" s="1"/>
  <c r="F34" i="40"/>
  <c r="M34" i="53" s="1"/>
  <c r="E34" i="40"/>
  <c r="M34" i="52" s="1"/>
  <c r="D34" i="40"/>
  <c r="M34" i="51" s="1"/>
  <c r="C34" i="40"/>
  <c r="M34" i="11" s="1"/>
  <c r="G33" i="40"/>
  <c r="M33" i="54" s="1"/>
  <c r="F33" i="40"/>
  <c r="M33" i="53" s="1"/>
  <c r="E33" i="40"/>
  <c r="M33" i="52" s="1"/>
  <c r="D33" i="40"/>
  <c r="M33" i="51" s="1"/>
  <c r="C33" i="40"/>
  <c r="M33" i="11" s="1"/>
  <c r="G32" i="40"/>
  <c r="M32" i="54" s="1"/>
  <c r="F32" i="40"/>
  <c r="M32" i="53" s="1"/>
  <c r="E32" i="40"/>
  <c r="M32" i="52" s="1"/>
  <c r="D32" i="40"/>
  <c r="M32" i="51" s="1"/>
  <c r="C32" i="40"/>
  <c r="M32" i="11" s="1"/>
  <c r="G31" i="40"/>
  <c r="M31" i="54" s="1"/>
  <c r="F31" i="40"/>
  <c r="M31" i="53" s="1"/>
  <c r="E31" i="40"/>
  <c r="M31" i="52" s="1"/>
  <c r="D31" i="40"/>
  <c r="M31" i="51" s="1"/>
  <c r="C31" i="40"/>
  <c r="M31" i="11" s="1"/>
  <c r="G30" i="40"/>
  <c r="M30" i="54" s="1"/>
  <c r="F30" i="40"/>
  <c r="M30" i="53" s="1"/>
  <c r="E30" i="40"/>
  <c r="M30" i="52" s="1"/>
  <c r="D30" i="40"/>
  <c r="M30" i="51" s="1"/>
  <c r="C30" i="40"/>
  <c r="M30" i="11" s="1"/>
  <c r="G29" i="40"/>
  <c r="M29" i="54" s="1"/>
  <c r="F29" i="40"/>
  <c r="M29" i="53" s="1"/>
  <c r="E29" i="40"/>
  <c r="M29" i="52" s="1"/>
  <c r="D29" i="40"/>
  <c r="M29" i="51" s="1"/>
  <c r="C29" i="40"/>
  <c r="M29" i="11" s="1"/>
  <c r="G28" i="40"/>
  <c r="M28" i="54" s="1"/>
  <c r="F28" i="40"/>
  <c r="M28" i="53" s="1"/>
  <c r="E28" i="40"/>
  <c r="M28" i="52" s="1"/>
  <c r="D28" i="40"/>
  <c r="M28" i="51" s="1"/>
  <c r="C28" i="40"/>
  <c r="M28" i="11" s="1"/>
  <c r="G27" i="40"/>
  <c r="M27" i="54" s="1"/>
  <c r="F27" i="40"/>
  <c r="M27" i="53" s="1"/>
  <c r="E27" i="40"/>
  <c r="M27" i="52" s="1"/>
  <c r="D27" i="40"/>
  <c r="M27" i="51" s="1"/>
  <c r="C27" i="40"/>
  <c r="M27" i="11" s="1"/>
  <c r="G26" i="40"/>
  <c r="M26" i="54" s="1"/>
  <c r="F26" i="40"/>
  <c r="M26" i="53" s="1"/>
  <c r="E26" i="40"/>
  <c r="M26" i="52" s="1"/>
  <c r="D26" i="40"/>
  <c r="M26" i="51" s="1"/>
  <c r="C26" i="40"/>
  <c r="M26" i="11" s="1"/>
  <c r="G25" i="40"/>
  <c r="M25" i="54" s="1"/>
  <c r="F25" i="40"/>
  <c r="M25" i="53" s="1"/>
  <c r="E25" i="40"/>
  <c r="M25" i="52" s="1"/>
  <c r="D25" i="40"/>
  <c r="M25" i="51" s="1"/>
  <c r="C25" i="40"/>
  <c r="M25" i="11" s="1"/>
  <c r="G24" i="40"/>
  <c r="M24" i="54" s="1"/>
  <c r="F24" i="40"/>
  <c r="M24" i="53" s="1"/>
  <c r="E24" i="40"/>
  <c r="M24" i="52" s="1"/>
  <c r="D24" i="40"/>
  <c r="M24" i="51" s="1"/>
  <c r="C24" i="40"/>
  <c r="M24" i="11" s="1"/>
  <c r="G23" i="40"/>
  <c r="M23" i="54" s="1"/>
  <c r="F23" i="40"/>
  <c r="M23" i="53" s="1"/>
  <c r="E23" i="40"/>
  <c r="M23" i="52" s="1"/>
  <c r="D23" i="40"/>
  <c r="M23" i="51" s="1"/>
  <c r="C23" i="40"/>
  <c r="M23" i="11" s="1"/>
  <c r="G22" i="40"/>
  <c r="M22" i="54" s="1"/>
  <c r="F22" i="40"/>
  <c r="M22" i="53" s="1"/>
  <c r="E22" i="40"/>
  <c r="M22" i="52" s="1"/>
  <c r="D22" i="40"/>
  <c r="M22" i="51" s="1"/>
  <c r="C22" i="40"/>
  <c r="M22" i="11" s="1"/>
  <c r="G21" i="40"/>
  <c r="M21" i="54" s="1"/>
  <c r="F21" i="40"/>
  <c r="M21" i="53" s="1"/>
  <c r="E21" i="40"/>
  <c r="M21" i="52" s="1"/>
  <c r="D21" i="40"/>
  <c r="M21" i="51" s="1"/>
  <c r="C21" i="40"/>
  <c r="M21" i="11" s="1"/>
  <c r="G20" i="40"/>
  <c r="M20" i="54" s="1"/>
  <c r="F20" i="40"/>
  <c r="M20" i="53" s="1"/>
  <c r="E20" i="40"/>
  <c r="M20" i="52" s="1"/>
  <c r="D20" i="40"/>
  <c r="M20" i="51" s="1"/>
  <c r="C20" i="40"/>
  <c r="M20" i="11" s="1"/>
  <c r="G19" i="40"/>
  <c r="M19" i="54" s="1"/>
  <c r="F19" i="40"/>
  <c r="M19" i="53" s="1"/>
  <c r="E19" i="40"/>
  <c r="M19" i="52" s="1"/>
  <c r="D19" i="40"/>
  <c r="M19" i="51" s="1"/>
  <c r="C19" i="40"/>
  <c r="M19" i="11" s="1"/>
  <c r="G18" i="40"/>
  <c r="M18" i="54" s="1"/>
  <c r="F18" i="40"/>
  <c r="M18" i="53" s="1"/>
  <c r="E18" i="40"/>
  <c r="M18" i="52" s="1"/>
  <c r="D18" i="40"/>
  <c r="M18" i="51" s="1"/>
  <c r="C18" i="40"/>
  <c r="M18" i="11" s="1"/>
  <c r="G17" i="40"/>
  <c r="M17" i="54" s="1"/>
  <c r="F17" i="40"/>
  <c r="M17" i="53" s="1"/>
  <c r="E17" i="40"/>
  <c r="M17" i="52" s="1"/>
  <c r="D17" i="40"/>
  <c r="M17" i="51" s="1"/>
  <c r="C17" i="40"/>
  <c r="M17" i="11" s="1"/>
  <c r="G16" i="40"/>
  <c r="M16" i="54" s="1"/>
  <c r="F16" i="40"/>
  <c r="M16" i="53" s="1"/>
  <c r="E16" i="40"/>
  <c r="M16" i="52" s="1"/>
  <c r="D16" i="40"/>
  <c r="M16" i="51" s="1"/>
  <c r="C16" i="40"/>
  <c r="M16" i="11" s="1"/>
  <c r="G15" i="40"/>
  <c r="M15" i="54" s="1"/>
  <c r="F15" i="40"/>
  <c r="M15" i="53" s="1"/>
  <c r="E15" i="40"/>
  <c r="M15" i="52" s="1"/>
  <c r="D15" i="40"/>
  <c r="M15" i="51" s="1"/>
  <c r="C15" i="40"/>
  <c r="M15" i="11" s="1"/>
  <c r="G14" i="40"/>
  <c r="M14" i="54" s="1"/>
  <c r="F14" i="40"/>
  <c r="M14" i="53" s="1"/>
  <c r="E14" i="40"/>
  <c r="M14" i="52" s="1"/>
  <c r="D14" i="40"/>
  <c r="M14" i="51" s="1"/>
  <c r="C14" i="40"/>
  <c r="M14" i="11" s="1"/>
  <c r="G13" i="40"/>
  <c r="M13" i="54" s="1"/>
  <c r="F13" i="40"/>
  <c r="M13" i="53" s="1"/>
  <c r="E13" i="40"/>
  <c r="M13" i="52" s="1"/>
  <c r="D13" i="40"/>
  <c r="M13" i="51" s="1"/>
  <c r="C13" i="40"/>
  <c r="M13" i="11" s="1"/>
  <c r="G12" i="40"/>
  <c r="M12" i="54" s="1"/>
  <c r="F12" i="40"/>
  <c r="M12" i="53" s="1"/>
  <c r="E12" i="40"/>
  <c r="M12" i="52" s="1"/>
  <c r="D12" i="40"/>
  <c r="M12" i="51" s="1"/>
  <c r="C12" i="40"/>
  <c r="M12" i="11" s="1"/>
  <c r="G11" i="40"/>
  <c r="M11" i="54" s="1"/>
  <c r="F11" i="40"/>
  <c r="M11" i="53" s="1"/>
  <c r="E11" i="40"/>
  <c r="M11" i="52" s="1"/>
  <c r="D11" i="40"/>
  <c r="M11" i="51" s="1"/>
  <c r="C11" i="40"/>
  <c r="M11" i="11" s="1"/>
  <c r="G10" i="40"/>
  <c r="M10" i="54" s="1"/>
  <c r="F10" i="40"/>
  <c r="M10" i="53" s="1"/>
  <c r="E10" i="40"/>
  <c r="M10" i="52" s="1"/>
  <c r="D10" i="40"/>
  <c r="M10" i="51" s="1"/>
  <c r="C10" i="40"/>
  <c r="M10" i="11" s="1"/>
  <c r="G9" i="40"/>
  <c r="M9" i="54" s="1"/>
  <c r="F9" i="40"/>
  <c r="M9" i="53" s="1"/>
  <c r="E9" i="40"/>
  <c r="M9" i="52" s="1"/>
  <c r="D9" i="40"/>
  <c r="M9" i="51" s="1"/>
  <c r="C9" i="40"/>
  <c r="M9" i="11" s="1"/>
  <c r="G58" i="39"/>
  <c r="N58" i="54" s="1"/>
  <c r="F58" i="39"/>
  <c r="N58" i="53" s="1"/>
  <c r="E58" i="39"/>
  <c r="N58" i="52" s="1"/>
  <c r="D58" i="39"/>
  <c r="N58" i="51" s="1"/>
  <c r="C58" i="39"/>
  <c r="N58" i="11" s="1"/>
  <c r="G57" i="39"/>
  <c r="N57" i="54" s="1"/>
  <c r="F57" i="39"/>
  <c r="N57" i="53" s="1"/>
  <c r="E57" i="39"/>
  <c r="N57" i="52" s="1"/>
  <c r="D57" i="39"/>
  <c r="N57" i="51" s="1"/>
  <c r="C57" i="39"/>
  <c r="N57" i="11" s="1"/>
  <c r="G56" i="39"/>
  <c r="N56" i="54" s="1"/>
  <c r="F56" i="39"/>
  <c r="N56" i="53" s="1"/>
  <c r="E56" i="39"/>
  <c r="N56" i="52" s="1"/>
  <c r="D56" i="39"/>
  <c r="N56" i="51" s="1"/>
  <c r="C56" i="39"/>
  <c r="N56" i="11" s="1"/>
  <c r="G55" i="39"/>
  <c r="N55" i="54" s="1"/>
  <c r="F55" i="39"/>
  <c r="N55" i="53" s="1"/>
  <c r="E55" i="39"/>
  <c r="N55" i="52" s="1"/>
  <c r="D55" i="39"/>
  <c r="N55" i="51" s="1"/>
  <c r="C55" i="39"/>
  <c r="N55" i="11" s="1"/>
  <c r="G54" i="39"/>
  <c r="N54" i="54" s="1"/>
  <c r="F54" i="39"/>
  <c r="N54" i="53" s="1"/>
  <c r="E54" i="39"/>
  <c r="N54" i="52" s="1"/>
  <c r="D54" i="39"/>
  <c r="N54" i="51" s="1"/>
  <c r="C54" i="39"/>
  <c r="N54" i="11" s="1"/>
  <c r="G53" i="39"/>
  <c r="N53" i="54" s="1"/>
  <c r="F53" i="39"/>
  <c r="N53" i="53" s="1"/>
  <c r="E53" i="39"/>
  <c r="N53" i="52" s="1"/>
  <c r="D53" i="39"/>
  <c r="N53" i="51" s="1"/>
  <c r="C53" i="39"/>
  <c r="N53" i="11" s="1"/>
  <c r="G52" i="39"/>
  <c r="N52" i="54" s="1"/>
  <c r="F52" i="39"/>
  <c r="N52" i="53" s="1"/>
  <c r="E52" i="39"/>
  <c r="N52" i="52" s="1"/>
  <c r="D52" i="39"/>
  <c r="N52" i="51" s="1"/>
  <c r="C52" i="39"/>
  <c r="N52" i="11" s="1"/>
  <c r="G51" i="39"/>
  <c r="N51" i="54" s="1"/>
  <c r="F51" i="39"/>
  <c r="N51" i="53" s="1"/>
  <c r="E51" i="39"/>
  <c r="N51" i="52" s="1"/>
  <c r="D51" i="39"/>
  <c r="N51" i="51" s="1"/>
  <c r="C51" i="39"/>
  <c r="N51" i="11" s="1"/>
  <c r="G50" i="39"/>
  <c r="N50" i="54" s="1"/>
  <c r="F50" i="39"/>
  <c r="N50" i="53" s="1"/>
  <c r="E50" i="39"/>
  <c r="N50" i="52" s="1"/>
  <c r="D50" i="39"/>
  <c r="N50" i="51" s="1"/>
  <c r="C50" i="39"/>
  <c r="N50" i="11" s="1"/>
  <c r="G49" i="39"/>
  <c r="N49" i="54" s="1"/>
  <c r="F49" i="39"/>
  <c r="N49" i="53" s="1"/>
  <c r="E49" i="39"/>
  <c r="N49" i="52" s="1"/>
  <c r="D49" i="39"/>
  <c r="N49" i="51" s="1"/>
  <c r="C49" i="39"/>
  <c r="N49" i="11" s="1"/>
  <c r="G48" i="39"/>
  <c r="N48" i="54" s="1"/>
  <c r="F48" i="39"/>
  <c r="N48" i="53" s="1"/>
  <c r="E48" i="39"/>
  <c r="N48" i="52" s="1"/>
  <c r="D48" i="39"/>
  <c r="N48" i="51" s="1"/>
  <c r="C48" i="39"/>
  <c r="N48" i="11" s="1"/>
  <c r="G47" i="39"/>
  <c r="N47" i="54" s="1"/>
  <c r="F47" i="39"/>
  <c r="N47" i="53" s="1"/>
  <c r="E47" i="39"/>
  <c r="N47" i="52" s="1"/>
  <c r="D47" i="39"/>
  <c r="N47" i="51" s="1"/>
  <c r="C47" i="39"/>
  <c r="N47" i="11" s="1"/>
  <c r="G46" i="39"/>
  <c r="N46" i="54" s="1"/>
  <c r="F46" i="39"/>
  <c r="N46" i="53" s="1"/>
  <c r="E46" i="39"/>
  <c r="N46" i="52" s="1"/>
  <c r="D46" i="39"/>
  <c r="N46" i="51" s="1"/>
  <c r="C46" i="39"/>
  <c r="N46" i="11" s="1"/>
  <c r="G45" i="39"/>
  <c r="N45" i="54" s="1"/>
  <c r="F45" i="39"/>
  <c r="N45" i="53" s="1"/>
  <c r="E45" i="39"/>
  <c r="N45" i="52" s="1"/>
  <c r="D45" i="39"/>
  <c r="N45" i="51" s="1"/>
  <c r="C45" i="39"/>
  <c r="N45" i="11" s="1"/>
  <c r="G44" i="39"/>
  <c r="N44" i="54" s="1"/>
  <c r="F44" i="39"/>
  <c r="N44" i="53" s="1"/>
  <c r="E44" i="39"/>
  <c r="N44" i="52" s="1"/>
  <c r="D44" i="39"/>
  <c r="N44" i="51" s="1"/>
  <c r="C44" i="39"/>
  <c r="N44" i="11" s="1"/>
  <c r="G43" i="39"/>
  <c r="N43" i="54" s="1"/>
  <c r="F43" i="39"/>
  <c r="N43" i="53" s="1"/>
  <c r="E43" i="39"/>
  <c r="N43" i="52" s="1"/>
  <c r="D43" i="39"/>
  <c r="N43" i="51" s="1"/>
  <c r="C43" i="39"/>
  <c r="N43" i="11" s="1"/>
  <c r="G42" i="39"/>
  <c r="N42" i="54" s="1"/>
  <c r="F42" i="39"/>
  <c r="N42" i="53" s="1"/>
  <c r="E42" i="39"/>
  <c r="N42" i="52" s="1"/>
  <c r="D42" i="39"/>
  <c r="N42" i="51" s="1"/>
  <c r="C42" i="39"/>
  <c r="N42" i="11" s="1"/>
  <c r="G41" i="39"/>
  <c r="N41" i="54" s="1"/>
  <c r="F41" i="39"/>
  <c r="N41" i="53" s="1"/>
  <c r="E41" i="39"/>
  <c r="N41" i="52" s="1"/>
  <c r="D41" i="39"/>
  <c r="N41" i="51" s="1"/>
  <c r="C41" i="39"/>
  <c r="N41" i="11" s="1"/>
  <c r="G40" i="39"/>
  <c r="N40" i="54" s="1"/>
  <c r="F40" i="39"/>
  <c r="N40" i="53" s="1"/>
  <c r="E40" i="39"/>
  <c r="N40" i="52" s="1"/>
  <c r="D40" i="39"/>
  <c r="N40" i="51" s="1"/>
  <c r="C40" i="39"/>
  <c r="N40" i="11" s="1"/>
  <c r="G39" i="39"/>
  <c r="N39" i="54" s="1"/>
  <c r="F39" i="39"/>
  <c r="N39" i="53" s="1"/>
  <c r="E39" i="39"/>
  <c r="N39" i="52" s="1"/>
  <c r="D39" i="39"/>
  <c r="N39" i="51" s="1"/>
  <c r="C39" i="39"/>
  <c r="N39" i="11" s="1"/>
  <c r="G38" i="39"/>
  <c r="N38" i="54" s="1"/>
  <c r="F38" i="39"/>
  <c r="N38" i="53" s="1"/>
  <c r="E38" i="39"/>
  <c r="N38" i="52" s="1"/>
  <c r="D38" i="39"/>
  <c r="N38" i="51" s="1"/>
  <c r="C38" i="39"/>
  <c r="N38" i="11" s="1"/>
  <c r="G37" i="39"/>
  <c r="N37" i="54" s="1"/>
  <c r="F37" i="39"/>
  <c r="N37" i="53" s="1"/>
  <c r="E37" i="39"/>
  <c r="N37" i="52" s="1"/>
  <c r="D37" i="39"/>
  <c r="N37" i="51" s="1"/>
  <c r="C37" i="39"/>
  <c r="N37" i="11" s="1"/>
  <c r="G36" i="39"/>
  <c r="N36" i="54" s="1"/>
  <c r="F36" i="39"/>
  <c r="N36" i="53" s="1"/>
  <c r="E36" i="39"/>
  <c r="N36" i="52" s="1"/>
  <c r="D36" i="39"/>
  <c r="N36" i="51" s="1"/>
  <c r="C36" i="39"/>
  <c r="N36" i="11" s="1"/>
  <c r="G35" i="39"/>
  <c r="N35" i="54" s="1"/>
  <c r="F35" i="39"/>
  <c r="N35" i="53" s="1"/>
  <c r="E35" i="39"/>
  <c r="N35" i="52" s="1"/>
  <c r="D35" i="39"/>
  <c r="N35" i="51" s="1"/>
  <c r="C35" i="39"/>
  <c r="N35" i="11" s="1"/>
  <c r="G34" i="39"/>
  <c r="N34" i="54" s="1"/>
  <c r="F34" i="39"/>
  <c r="N34" i="53" s="1"/>
  <c r="E34" i="39"/>
  <c r="N34" i="52" s="1"/>
  <c r="D34" i="39"/>
  <c r="N34" i="51" s="1"/>
  <c r="C34" i="39"/>
  <c r="N34" i="11" s="1"/>
  <c r="G33" i="39"/>
  <c r="N33" i="54" s="1"/>
  <c r="F33" i="39"/>
  <c r="N33" i="53" s="1"/>
  <c r="E33" i="39"/>
  <c r="N33" i="52" s="1"/>
  <c r="D33" i="39"/>
  <c r="N33" i="51" s="1"/>
  <c r="C33" i="39"/>
  <c r="N33" i="11" s="1"/>
  <c r="G32" i="39"/>
  <c r="N32" i="54" s="1"/>
  <c r="F32" i="39"/>
  <c r="N32" i="53" s="1"/>
  <c r="E32" i="39"/>
  <c r="N32" i="52" s="1"/>
  <c r="D32" i="39"/>
  <c r="N32" i="51" s="1"/>
  <c r="C32" i="39"/>
  <c r="N32" i="11" s="1"/>
  <c r="G31" i="39"/>
  <c r="N31" i="54" s="1"/>
  <c r="F31" i="39"/>
  <c r="N31" i="53" s="1"/>
  <c r="E31" i="39"/>
  <c r="N31" i="52" s="1"/>
  <c r="D31" i="39"/>
  <c r="N31" i="51" s="1"/>
  <c r="C31" i="39"/>
  <c r="N31" i="11" s="1"/>
  <c r="G30" i="39"/>
  <c r="N30" i="54" s="1"/>
  <c r="F30" i="39"/>
  <c r="N30" i="53" s="1"/>
  <c r="E30" i="39"/>
  <c r="N30" i="52" s="1"/>
  <c r="D30" i="39"/>
  <c r="N30" i="51" s="1"/>
  <c r="C30" i="39"/>
  <c r="N30" i="11" s="1"/>
  <c r="G29" i="39"/>
  <c r="N29" i="54" s="1"/>
  <c r="F29" i="39"/>
  <c r="N29" i="53" s="1"/>
  <c r="E29" i="39"/>
  <c r="N29" i="52" s="1"/>
  <c r="D29" i="39"/>
  <c r="N29" i="51" s="1"/>
  <c r="C29" i="39"/>
  <c r="N29" i="11" s="1"/>
  <c r="G28" i="39"/>
  <c r="N28" i="54" s="1"/>
  <c r="F28" i="39"/>
  <c r="N28" i="53" s="1"/>
  <c r="E28" i="39"/>
  <c r="N28" i="52" s="1"/>
  <c r="D28" i="39"/>
  <c r="N28" i="51" s="1"/>
  <c r="C28" i="39"/>
  <c r="N28" i="11" s="1"/>
  <c r="G27" i="39"/>
  <c r="N27" i="54" s="1"/>
  <c r="F27" i="39"/>
  <c r="N27" i="53" s="1"/>
  <c r="E27" i="39"/>
  <c r="N27" i="52" s="1"/>
  <c r="D27" i="39"/>
  <c r="N27" i="51" s="1"/>
  <c r="C27" i="39"/>
  <c r="N27" i="11" s="1"/>
  <c r="G26" i="39"/>
  <c r="N26" i="54" s="1"/>
  <c r="F26" i="39"/>
  <c r="N26" i="53" s="1"/>
  <c r="E26" i="39"/>
  <c r="N26" i="52" s="1"/>
  <c r="D26" i="39"/>
  <c r="N26" i="51" s="1"/>
  <c r="C26" i="39"/>
  <c r="N26" i="11" s="1"/>
  <c r="G25" i="39"/>
  <c r="N25" i="54" s="1"/>
  <c r="F25" i="39"/>
  <c r="N25" i="53" s="1"/>
  <c r="E25" i="39"/>
  <c r="N25" i="52" s="1"/>
  <c r="D25" i="39"/>
  <c r="N25" i="51" s="1"/>
  <c r="C25" i="39"/>
  <c r="N25" i="11" s="1"/>
  <c r="G24" i="39"/>
  <c r="N24" i="54" s="1"/>
  <c r="F24" i="39"/>
  <c r="N24" i="53" s="1"/>
  <c r="E24" i="39"/>
  <c r="N24" i="52" s="1"/>
  <c r="D24" i="39"/>
  <c r="N24" i="51" s="1"/>
  <c r="C24" i="39"/>
  <c r="N24" i="11" s="1"/>
  <c r="G23" i="39"/>
  <c r="N23" i="54" s="1"/>
  <c r="F23" i="39"/>
  <c r="N23" i="53" s="1"/>
  <c r="E23" i="39"/>
  <c r="N23" i="52" s="1"/>
  <c r="D23" i="39"/>
  <c r="N23" i="51" s="1"/>
  <c r="C23" i="39"/>
  <c r="N23" i="11" s="1"/>
  <c r="G22" i="39"/>
  <c r="N22" i="54" s="1"/>
  <c r="F22" i="39"/>
  <c r="N22" i="53" s="1"/>
  <c r="E22" i="39"/>
  <c r="N22" i="52" s="1"/>
  <c r="D22" i="39"/>
  <c r="N22" i="51" s="1"/>
  <c r="C22" i="39"/>
  <c r="N22" i="11" s="1"/>
  <c r="G21" i="39"/>
  <c r="N21" i="54" s="1"/>
  <c r="F21" i="39"/>
  <c r="N21" i="53" s="1"/>
  <c r="E21" i="39"/>
  <c r="N21" i="52" s="1"/>
  <c r="D21" i="39"/>
  <c r="N21" i="51" s="1"/>
  <c r="C21" i="39"/>
  <c r="N21" i="11" s="1"/>
  <c r="G20" i="39"/>
  <c r="N20" i="54" s="1"/>
  <c r="F20" i="39"/>
  <c r="N20" i="53" s="1"/>
  <c r="E20" i="39"/>
  <c r="N20" i="52" s="1"/>
  <c r="D20" i="39"/>
  <c r="N20" i="51" s="1"/>
  <c r="C20" i="39"/>
  <c r="N20" i="11" s="1"/>
  <c r="G19" i="39"/>
  <c r="N19" i="54" s="1"/>
  <c r="F19" i="39"/>
  <c r="N19" i="53" s="1"/>
  <c r="E19" i="39"/>
  <c r="N19" i="52" s="1"/>
  <c r="D19" i="39"/>
  <c r="N19" i="51" s="1"/>
  <c r="C19" i="39"/>
  <c r="N19" i="11" s="1"/>
  <c r="G18" i="39"/>
  <c r="N18" i="54" s="1"/>
  <c r="F18" i="39"/>
  <c r="N18" i="53" s="1"/>
  <c r="E18" i="39"/>
  <c r="N18" i="52" s="1"/>
  <c r="D18" i="39"/>
  <c r="N18" i="51" s="1"/>
  <c r="C18" i="39"/>
  <c r="N18" i="11" s="1"/>
  <c r="G17" i="39"/>
  <c r="N17" i="54" s="1"/>
  <c r="F17" i="39"/>
  <c r="N17" i="53" s="1"/>
  <c r="E17" i="39"/>
  <c r="N17" i="52" s="1"/>
  <c r="D17" i="39"/>
  <c r="N17" i="51" s="1"/>
  <c r="C17" i="39"/>
  <c r="N17" i="11" s="1"/>
  <c r="G16" i="39"/>
  <c r="N16" i="54" s="1"/>
  <c r="F16" i="39"/>
  <c r="N16" i="53" s="1"/>
  <c r="E16" i="39"/>
  <c r="N16" i="52" s="1"/>
  <c r="D16" i="39"/>
  <c r="N16" i="51" s="1"/>
  <c r="C16" i="39"/>
  <c r="N16" i="11" s="1"/>
  <c r="G15" i="39"/>
  <c r="N15" i="54" s="1"/>
  <c r="F15" i="39"/>
  <c r="N15" i="53" s="1"/>
  <c r="E15" i="39"/>
  <c r="N15" i="52" s="1"/>
  <c r="D15" i="39"/>
  <c r="N15" i="51" s="1"/>
  <c r="C15" i="39"/>
  <c r="N15" i="11" s="1"/>
  <c r="G14" i="39"/>
  <c r="N14" i="54" s="1"/>
  <c r="F14" i="39"/>
  <c r="N14" i="53" s="1"/>
  <c r="E14" i="39"/>
  <c r="N14" i="52" s="1"/>
  <c r="D14" i="39"/>
  <c r="N14" i="51" s="1"/>
  <c r="C14" i="39"/>
  <c r="N14" i="11" s="1"/>
  <c r="G13" i="39"/>
  <c r="N13" i="54" s="1"/>
  <c r="F13" i="39"/>
  <c r="N13" i="53" s="1"/>
  <c r="E13" i="39"/>
  <c r="N13" i="52" s="1"/>
  <c r="D13" i="39"/>
  <c r="N13" i="51" s="1"/>
  <c r="C13" i="39"/>
  <c r="N13" i="11" s="1"/>
  <c r="G12" i="39"/>
  <c r="N12" i="54" s="1"/>
  <c r="F12" i="39"/>
  <c r="N12" i="53" s="1"/>
  <c r="E12" i="39"/>
  <c r="N12" i="52" s="1"/>
  <c r="D12" i="39"/>
  <c r="N12" i="51" s="1"/>
  <c r="C12" i="39"/>
  <c r="N12" i="11" s="1"/>
  <c r="G11" i="39"/>
  <c r="N11" i="54" s="1"/>
  <c r="F11" i="39"/>
  <c r="N11" i="53" s="1"/>
  <c r="E11" i="39"/>
  <c r="N11" i="52" s="1"/>
  <c r="D11" i="39"/>
  <c r="N11" i="51" s="1"/>
  <c r="C11" i="39"/>
  <c r="N11" i="11" s="1"/>
  <c r="G10" i="39"/>
  <c r="N10" i="54" s="1"/>
  <c r="F10" i="39"/>
  <c r="N10" i="53" s="1"/>
  <c r="E10" i="39"/>
  <c r="N10" i="52" s="1"/>
  <c r="D10" i="39"/>
  <c r="N10" i="51" s="1"/>
  <c r="C10" i="39"/>
  <c r="N10" i="11" s="1"/>
  <c r="G9" i="39"/>
  <c r="N9" i="54" s="1"/>
  <c r="F9" i="39"/>
  <c r="N9" i="53" s="1"/>
  <c r="E9" i="39"/>
  <c r="N9" i="52" s="1"/>
  <c r="D9" i="39"/>
  <c r="N9" i="51" s="1"/>
  <c r="C9" i="39"/>
  <c r="N9" i="11" s="1"/>
  <c r="G58" i="38"/>
  <c r="O58" i="54" s="1"/>
  <c r="F58" i="38"/>
  <c r="O58" i="53" s="1"/>
  <c r="E58" i="38"/>
  <c r="O58" i="52" s="1"/>
  <c r="D58" i="38"/>
  <c r="O58" i="51" s="1"/>
  <c r="C58" i="38"/>
  <c r="O58" i="11" s="1"/>
  <c r="G57" i="38"/>
  <c r="O57" i="54" s="1"/>
  <c r="F57" i="38"/>
  <c r="O57" i="53" s="1"/>
  <c r="E57" i="38"/>
  <c r="O57" i="52" s="1"/>
  <c r="D57" i="38"/>
  <c r="O57" i="51" s="1"/>
  <c r="C57" i="38"/>
  <c r="O57" i="11" s="1"/>
  <c r="G56" i="38"/>
  <c r="O56" i="54" s="1"/>
  <c r="F56" i="38"/>
  <c r="O56" i="53" s="1"/>
  <c r="E56" i="38"/>
  <c r="O56" i="52" s="1"/>
  <c r="D56" i="38"/>
  <c r="O56" i="51" s="1"/>
  <c r="C56" i="38"/>
  <c r="O56" i="11" s="1"/>
  <c r="G55" i="38"/>
  <c r="O55" i="54" s="1"/>
  <c r="F55" i="38"/>
  <c r="O55" i="53" s="1"/>
  <c r="E55" i="38"/>
  <c r="O55" i="52" s="1"/>
  <c r="D55" i="38"/>
  <c r="O55" i="51" s="1"/>
  <c r="C55" i="38"/>
  <c r="O55" i="11" s="1"/>
  <c r="G54" i="38"/>
  <c r="O54" i="54" s="1"/>
  <c r="F54" i="38"/>
  <c r="O54" i="53" s="1"/>
  <c r="E54" i="38"/>
  <c r="O54" i="52" s="1"/>
  <c r="D54" i="38"/>
  <c r="O54" i="51" s="1"/>
  <c r="C54" i="38"/>
  <c r="O54" i="11" s="1"/>
  <c r="G53" i="38"/>
  <c r="O53" i="54" s="1"/>
  <c r="F53" i="38"/>
  <c r="O53" i="53" s="1"/>
  <c r="E53" i="38"/>
  <c r="O53" i="52" s="1"/>
  <c r="D53" i="38"/>
  <c r="O53" i="51" s="1"/>
  <c r="C53" i="38"/>
  <c r="O53" i="11" s="1"/>
  <c r="G52" i="38"/>
  <c r="O52" i="54" s="1"/>
  <c r="F52" i="38"/>
  <c r="O52" i="53" s="1"/>
  <c r="E52" i="38"/>
  <c r="O52" i="52" s="1"/>
  <c r="D52" i="38"/>
  <c r="O52" i="51" s="1"/>
  <c r="C52" i="38"/>
  <c r="O52" i="11" s="1"/>
  <c r="G51" i="38"/>
  <c r="O51" i="54" s="1"/>
  <c r="F51" i="38"/>
  <c r="O51" i="53" s="1"/>
  <c r="E51" i="38"/>
  <c r="O51" i="52" s="1"/>
  <c r="D51" i="38"/>
  <c r="O51" i="51" s="1"/>
  <c r="C51" i="38"/>
  <c r="O51" i="11" s="1"/>
  <c r="G50" i="38"/>
  <c r="O50" i="54" s="1"/>
  <c r="F50" i="38"/>
  <c r="O50" i="53" s="1"/>
  <c r="E50" i="38"/>
  <c r="O50" i="52" s="1"/>
  <c r="D50" i="38"/>
  <c r="O50" i="51" s="1"/>
  <c r="C50" i="38"/>
  <c r="O50" i="11" s="1"/>
  <c r="G49" i="38"/>
  <c r="O49" i="54" s="1"/>
  <c r="F49" i="38"/>
  <c r="O49" i="53" s="1"/>
  <c r="E49" i="38"/>
  <c r="O49" i="52" s="1"/>
  <c r="D49" i="38"/>
  <c r="O49" i="51" s="1"/>
  <c r="C49" i="38"/>
  <c r="O49" i="11" s="1"/>
  <c r="G48" i="38"/>
  <c r="O48" i="54" s="1"/>
  <c r="F48" i="38"/>
  <c r="O48" i="53" s="1"/>
  <c r="E48" i="38"/>
  <c r="O48" i="52" s="1"/>
  <c r="D48" i="38"/>
  <c r="O48" i="51" s="1"/>
  <c r="C48" i="38"/>
  <c r="O48" i="11" s="1"/>
  <c r="G47" i="38"/>
  <c r="O47" i="54" s="1"/>
  <c r="F47" i="38"/>
  <c r="O47" i="53" s="1"/>
  <c r="E47" i="38"/>
  <c r="O47" i="52" s="1"/>
  <c r="D47" i="38"/>
  <c r="O47" i="51" s="1"/>
  <c r="C47" i="38"/>
  <c r="O47" i="11" s="1"/>
  <c r="G46" i="38"/>
  <c r="O46" i="54" s="1"/>
  <c r="F46" i="38"/>
  <c r="O46" i="53" s="1"/>
  <c r="E46" i="38"/>
  <c r="O46" i="52" s="1"/>
  <c r="D46" i="38"/>
  <c r="O46" i="51" s="1"/>
  <c r="C46" i="38"/>
  <c r="O46" i="11" s="1"/>
  <c r="G45" i="38"/>
  <c r="O45" i="54" s="1"/>
  <c r="F45" i="38"/>
  <c r="O45" i="53" s="1"/>
  <c r="E45" i="38"/>
  <c r="O45" i="52" s="1"/>
  <c r="D45" i="38"/>
  <c r="O45" i="51" s="1"/>
  <c r="C45" i="38"/>
  <c r="O45" i="11" s="1"/>
  <c r="G44" i="38"/>
  <c r="O44" i="54" s="1"/>
  <c r="F44" i="38"/>
  <c r="O44" i="53" s="1"/>
  <c r="E44" i="38"/>
  <c r="O44" i="52" s="1"/>
  <c r="D44" i="38"/>
  <c r="O44" i="51" s="1"/>
  <c r="C44" i="38"/>
  <c r="O44" i="11" s="1"/>
  <c r="G43" i="38"/>
  <c r="O43" i="54" s="1"/>
  <c r="F43" i="38"/>
  <c r="O43" i="53" s="1"/>
  <c r="E43" i="38"/>
  <c r="O43" i="52" s="1"/>
  <c r="D43" i="38"/>
  <c r="O43" i="51" s="1"/>
  <c r="C43" i="38"/>
  <c r="O43" i="11" s="1"/>
  <c r="G42" i="38"/>
  <c r="O42" i="54" s="1"/>
  <c r="F42" i="38"/>
  <c r="O42" i="53" s="1"/>
  <c r="E42" i="38"/>
  <c r="O42" i="52" s="1"/>
  <c r="D42" i="38"/>
  <c r="O42" i="51" s="1"/>
  <c r="C42" i="38"/>
  <c r="O42" i="11" s="1"/>
  <c r="G41" i="38"/>
  <c r="O41" i="54" s="1"/>
  <c r="F41" i="38"/>
  <c r="O41" i="53" s="1"/>
  <c r="E41" i="38"/>
  <c r="O41" i="52" s="1"/>
  <c r="D41" i="38"/>
  <c r="O41" i="51" s="1"/>
  <c r="C41" i="38"/>
  <c r="O41" i="11" s="1"/>
  <c r="G40" i="38"/>
  <c r="O40" i="54" s="1"/>
  <c r="F40" i="38"/>
  <c r="O40" i="53" s="1"/>
  <c r="E40" i="38"/>
  <c r="O40" i="52" s="1"/>
  <c r="D40" i="38"/>
  <c r="O40" i="51" s="1"/>
  <c r="C40" i="38"/>
  <c r="O40" i="11" s="1"/>
  <c r="G39" i="38"/>
  <c r="O39" i="54" s="1"/>
  <c r="F39" i="38"/>
  <c r="O39" i="53" s="1"/>
  <c r="E39" i="38"/>
  <c r="O39" i="52" s="1"/>
  <c r="D39" i="38"/>
  <c r="O39" i="51" s="1"/>
  <c r="C39" i="38"/>
  <c r="O39" i="11" s="1"/>
  <c r="G38" i="38"/>
  <c r="O38" i="54" s="1"/>
  <c r="F38" i="38"/>
  <c r="O38" i="53" s="1"/>
  <c r="E38" i="38"/>
  <c r="O38" i="52" s="1"/>
  <c r="D38" i="38"/>
  <c r="O38" i="51" s="1"/>
  <c r="C38" i="38"/>
  <c r="O38" i="11" s="1"/>
  <c r="G37" i="38"/>
  <c r="O37" i="54" s="1"/>
  <c r="F37" i="38"/>
  <c r="O37" i="53" s="1"/>
  <c r="E37" i="38"/>
  <c r="O37" i="52" s="1"/>
  <c r="D37" i="38"/>
  <c r="O37" i="51" s="1"/>
  <c r="C37" i="38"/>
  <c r="O37" i="11" s="1"/>
  <c r="G36" i="38"/>
  <c r="O36" i="54" s="1"/>
  <c r="F36" i="38"/>
  <c r="O36" i="53" s="1"/>
  <c r="E36" i="38"/>
  <c r="O36" i="52" s="1"/>
  <c r="D36" i="38"/>
  <c r="O36" i="51" s="1"/>
  <c r="C36" i="38"/>
  <c r="O36" i="11" s="1"/>
  <c r="G35" i="38"/>
  <c r="O35" i="54" s="1"/>
  <c r="F35" i="38"/>
  <c r="O35" i="53" s="1"/>
  <c r="E35" i="38"/>
  <c r="O35" i="52" s="1"/>
  <c r="D35" i="38"/>
  <c r="O35" i="51" s="1"/>
  <c r="C35" i="38"/>
  <c r="O35" i="11" s="1"/>
  <c r="G34" i="38"/>
  <c r="O34" i="54" s="1"/>
  <c r="F34" i="38"/>
  <c r="O34" i="53" s="1"/>
  <c r="E34" i="38"/>
  <c r="O34" i="52" s="1"/>
  <c r="D34" i="38"/>
  <c r="O34" i="51" s="1"/>
  <c r="C34" i="38"/>
  <c r="O34" i="11" s="1"/>
  <c r="G33" i="38"/>
  <c r="O33" i="54" s="1"/>
  <c r="F33" i="38"/>
  <c r="O33" i="53" s="1"/>
  <c r="E33" i="38"/>
  <c r="O33" i="52" s="1"/>
  <c r="D33" i="38"/>
  <c r="O33" i="51" s="1"/>
  <c r="C33" i="38"/>
  <c r="O33" i="11" s="1"/>
  <c r="G32" i="38"/>
  <c r="O32" i="54" s="1"/>
  <c r="F32" i="38"/>
  <c r="O32" i="53" s="1"/>
  <c r="E32" i="38"/>
  <c r="O32" i="52" s="1"/>
  <c r="D32" i="38"/>
  <c r="O32" i="51" s="1"/>
  <c r="C32" i="38"/>
  <c r="O32" i="11" s="1"/>
  <c r="G31" i="38"/>
  <c r="O31" i="54" s="1"/>
  <c r="F31" i="38"/>
  <c r="O31" i="53" s="1"/>
  <c r="E31" i="38"/>
  <c r="O31" i="52" s="1"/>
  <c r="D31" i="38"/>
  <c r="O31" i="51" s="1"/>
  <c r="C31" i="38"/>
  <c r="O31" i="11" s="1"/>
  <c r="G30" i="38"/>
  <c r="O30" i="54" s="1"/>
  <c r="F30" i="38"/>
  <c r="O30" i="53" s="1"/>
  <c r="E30" i="38"/>
  <c r="O30" i="52" s="1"/>
  <c r="D30" i="38"/>
  <c r="O30" i="51" s="1"/>
  <c r="C30" i="38"/>
  <c r="O30" i="11" s="1"/>
  <c r="G29" i="38"/>
  <c r="O29" i="54" s="1"/>
  <c r="F29" i="38"/>
  <c r="O29" i="53" s="1"/>
  <c r="E29" i="38"/>
  <c r="O29" i="52" s="1"/>
  <c r="D29" i="38"/>
  <c r="O29" i="51" s="1"/>
  <c r="C29" i="38"/>
  <c r="O29" i="11" s="1"/>
  <c r="G28" i="38"/>
  <c r="O28" i="54" s="1"/>
  <c r="F28" i="38"/>
  <c r="O28" i="53" s="1"/>
  <c r="E28" i="38"/>
  <c r="O28" i="52" s="1"/>
  <c r="D28" i="38"/>
  <c r="O28" i="51" s="1"/>
  <c r="C28" i="38"/>
  <c r="O28" i="11" s="1"/>
  <c r="G27" i="38"/>
  <c r="O27" i="54" s="1"/>
  <c r="F27" i="38"/>
  <c r="O27" i="53" s="1"/>
  <c r="E27" i="38"/>
  <c r="O27" i="52" s="1"/>
  <c r="D27" i="38"/>
  <c r="O27" i="51" s="1"/>
  <c r="C27" i="38"/>
  <c r="O27" i="11" s="1"/>
  <c r="G26" i="38"/>
  <c r="O26" i="54" s="1"/>
  <c r="F26" i="38"/>
  <c r="O26" i="53" s="1"/>
  <c r="E26" i="38"/>
  <c r="O26" i="52" s="1"/>
  <c r="D26" i="38"/>
  <c r="O26" i="51" s="1"/>
  <c r="C26" i="38"/>
  <c r="O26" i="11" s="1"/>
  <c r="G25" i="38"/>
  <c r="O25" i="54" s="1"/>
  <c r="F25" i="38"/>
  <c r="O25" i="53" s="1"/>
  <c r="E25" i="38"/>
  <c r="O25" i="52" s="1"/>
  <c r="D25" i="38"/>
  <c r="O25" i="51" s="1"/>
  <c r="C25" i="38"/>
  <c r="O25" i="11" s="1"/>
  <c r="G24" i="38"/>
  <c r="O24" i="54" s="1"/>
  <c r="F24" i="38"/>
  <c r="O24" i="53" s="1"/>
  <c r="E24" i="38"/>
  <c r="O24" i="52" s="1"/>
  <c r="D24" i="38"/>
  <c r="O24" i="51" s="1"/>
  <c r="C24" i="38"/>
  <c r="O24" i="11" s="1"/>
  <c r="G23" i="38"/>
  <c r="O23" i="54" s="1"/>
  <c r="F23" i="38"/>
  <c r="O23" i="53" s="1"/>
  <c r="E23" i="38"/>
  <c r="O23" i="52" s="1"/>
  <c r="D23" i="38"/>
  <c r="O23" i="51" s="1"/>
  <c r="C23" i="38"/>
  <c r="O23" i="11" s="1"/>
  <c r="G22" i="38"/>
  <c r="O22" i="54" s="1"/>
  <c r="F22" i="38"/>
  <c r="O22" i="53" s="1"/>
  <c r="E22" i="38"/>
  <c r="O22" i="52" s="1"/>
  <c r="D22" i="38"/>
  <c r="O22" i="51" s="1"/>
  <c r="C22" i="38"/>
  <c r="O22" i="11" s="1"/>
  <c r="G21" i="38"/>
  <c r="O21" i="54" s="1"/>
  <c r="F21" i="38"/>
  <c r="O21" i="53" s="1"/>
  <c r="E21" i="38"/>
  <c r="O21" i="52" s="1"/>
  <c r="D21" i="38"/>
  <c r="O21" i="51" s="1"/>
  <c r="C21" i="38"/>
  <c r="O21" i="11" s="1"/>
  <c r="G20" i="38"/>
  <c r="O20" i="54" s="1"/>
  <c r="F20" i="38"/>
  <c r="O20" i="53" s="1"/>
  <c r="E20" i="38"/>
  <c r="O20" i="52" s="1"/>
  <c r="D20" i="38"/>
  <c r="O20" i="51" s="1"/>
  <c r="C20" i="38"/>
  <c r="O20" i="11" s="1"/>
  <c r="G19" i="38"/>
  <c r="O19" i="54" s="1"/>
  <c r="F19" i="38"/>
  <c r="O19" i="53" s="1"/>
  <c r="E19" i="38"/>
  <c r="O19" i="52" s="1"/>
  <c r="D19" i="38"/>
  <c r="O19" i="51" s="1"/>
  <c r="C19" i="38"/>
  <c r="O19" i="11" s="1"/>
  <c r="G18" i="38"/>
  <c r="O18" i="54" s="1"/>
  <c r="F18" i="38"/>
  <c r="O18" i="53" s="1"/>
  <c r="E18" i="38"/>
  <c r="O18" i="52" s="1"/>
  <c r="D18" i="38"/>
  <c r="O18" i="51" s="1"/>
  <c r="C18" i="38"/>
  <c r="O18" i="11" s="1"/>
  <c r="G17" i="38"/>
  <c r="O17" i="54" s="1"/>
  <c r="F17" i="38"/>
  <c r="O17" i="53" s="1"/>
  <c r="E17" i="38"/>
  <c r="O17" i="52" s="1"/>
  <c r="D17" i="38"/>
  <c r="O17" i="51" s="1"/>
  <c r="C17" i="38"/>
  <c r="O17" i="11" s="1"/>
  <c r="G16" i="38"/>
  <c r="O16" i="54" s="1"/>
  <c r="F16" i="38"/>
  <c r="O16" i="53" s="1"/>
  <c r="E16" i="38"/>
  <c r="O16" i="52" s="1"/>
  <c r="D16" i="38"/>
  <c r="O16" i="51" s="1"/>
  <c r="C16" i="38"/>
  <c r="O16" i="11" s="1"/>
  <c r="G15" i="38"/>
  <c r="O15" i="54" s="1"/>
  <c r="F15" i="38"/>
  <c r="O15" i="53" s="1"/>
  <c r="E15" i="38"/>
  <c r="O15" i="52" s="1"/>
  <c r="D15" i="38"/>
  <c r="O15" i="51" s="1"/>
  <c r="C15" i="38"/>
  <c r="O15" i="11" s="1"/>
  <c r="G14" i="38"/>
  <c r="O14" i="54" s="1"/>
  <c r="F14" i="38"/>
  <c r="O14" i="53" s="1"/>
  <c r="E14" i="38"/>
  <c r="O14" i="52" s="1"/>
  <c r="D14" i="38"/>
  <c r="O14" i="51" s="1"/>
  <c r="C14" i="38"/>
  <c r="O14" i="11" s="1"/>
  <c r="G13" i="38"/>
  <c r="O13" i="54" s="1"/>
  <c r="F13" i="38"/>
  <c r="O13" i="53" s="1"/>
  <c r="E13" i="38"/>
  <c r="O13" i="52" s="1"/>
  <c r="D13" i="38"/>
  <c r="O13" i="51" s="1"/>
  <c r="C13" i="38"/>
  <c r="O13" i="11" s="1"/>
  <c r="G12" i="38"/>
  <c r="O12" i="54" s="1"/>
  <c r="F12" i="38"/>
  <c r="O12" i="53" s="1"/>
  <c r="E12" i="38"/>
  <c r="O12" i="52" s="1"/>
  <c r="D12" i="38"/>
  <c r="O12" i="51" s="1"/>
  <c r="C12" i="38"/>
  <c r="O12" i="11" s="1"/>
  <c r="G11" i="38"/>
  <c r="O11" i="54" s="1"/>
  <c r="F11" i="38"/>
  <c r="O11" i="53" s="1"/>
  <c r="E11" i="38"/>
  <c r="O11" i="52" s="1"/>
  <c r="D11" i="38"/>
  <c r="O11" i="51" s="1"/>
  <c r="C11" i="38"/>
  <c r="O11" i="11" s="1"/>
  <c r="G10" i="38"/>
  <c r="O10" i="54" s="1"/>
  <c r="F10" i="38"/>
  <c r="O10" i="53" s="1"/>
  <c r="E10" i="38"/>
  <c r="O10" i="52" s="1"/>
  <c r="D10" i="38"/>
  <c r="O10" i="51" s="1"/>
  <c r="C10" i="38"/>
  <c r="O10" i="11" s="1"/>
  <c r="G9" i="38"/>
  <c r="O9" i="54" s="1"/>
  <c r="F9" i="38"/>
  <c r="O9" i="53" s="1"/>
  <c r="E9" i="38"/>
  <c r="O9" i="52" s="1"/>
  <c r="D9" i="38"/>
  <c r="O9" i="51" s="1"/>
  <c r="C9" i="38"/>
  <c r="O9" i="11" s="1"/>
  <c r="G58" i="37"/>
  <c r="P58" i="54" s="1"/>
  <c r="F58" i="37"/>
  <c r="P58" i="53" s="1"/>
  <c r="E58" i="37"/>
  <c r="P58" i="52" s="1"/>
  <c r="D58" i="37"/>
  <c r="P58" i="51" s="1"/>
  <c r="C58" i="37"/>
  <c r="P58" i="11" s="1"/>
  <c r="G57" i="37"/>
  <c r="P57" i="54" s="1"/>
  <c r="F57" i="37"/>
  <c r="P57" i="53" s="1"/>
  <c r="E57" i="37"/>
  <c r="P57" i="52" s="1"/>
  <c r="D57" i="37"/>
  <c r="P57" i="51" s="1"/>
  <c r="C57" i="37"/>
  <c r="P57" i="11" s="1"/>
  <c r="G56" i="37"/>
  <c r="P56" i="54" s="1"/>
  <c r="F56" i="37"/>
  <c r="P56" i="53" s="1"/>
  <c r="E56" i="37"/>
  <c r="P56" i="52" s="1"/>
  <c r="D56" i="37"/>
  <c r="P56" i="51" s="1"/>
  <c r="C56" i="37"/>
  <c r="P56" i="11" s="1"/>
  <c r="G55" i="37"/>
  <c r="P55" i="54" s="1"/>
  <c r="F55" i="37"/>
  <c r="P55" i="53" s="1"/>
  <c r="E55" i="37"/>
  <c r="P55" i="52" s="1"/>
  <c r="D55" i="37"/>
  <c r="P55" i="51" s="1"/>
  <c r="C55" i="37"/>
  <c r="P55" i="11" s="1"/>
  <c r="G54" i="37"/>
  <c r="P54" i="54" s="1"/>
  <c r="F54" i="37"/>
  <c r="P54" i="53" s="1"/>
  <c r="E54" i="37"/>
  <c r="P54" i="52" s="1"/>
  <c r="D54" i="37"/>
  <c r="P54" i="51" s="1"/>
  <c r="C54" i="37"/>
  <c r="P54" i="11" s="1"/>
  <c r="G53" i="37"/>
  <c r="P53" i="54" s="1"/>
  <c r="F53" i="37"/>
  <c r="P53" i="53" s="1"/>
  <c r="E53" i="37"/>
  <c r="P53" i="52" s="1"/>
  <c r="D53" i="37"/>
  <c r="P53" i="51" s="1"/>
  <c r="C53" i="37"/>
  <c r="P53" i="11" s="1"/>
  <c r="G52" i="37"/>
  <c r="P52" i="54" s="1"/>
  <c r="F52" i="37"/>
  <c r="P52" i="53" s="1"/>
  <c r="E52" i="37"/>
  <c r="P52" i="52" s="1"/>
  <c r="D52" i="37"/>
  <c r="P52" i="51" s="1"/>
  <c r="C52" i="37"/>
  <c r="P52" i="11" s="1"/>
  <c r="G51" i="37"/>
  <c r="P51" i="54" s="1"/>
  <c r="F51" i="37"/>
  <c r="P51" i="53" s="1"/>
  <c r="E51" i="37"/>
  <c r="P51" i="52" s="1"/>
  <c r="D51" i="37"/>
  <c r="P51" i="51" s="1"/>
  <c r="C51" i="37"/>
  <c r="P51" i="11" s="1"/>
  <c r="G50" i="37"/>
  <c r="P50" i="54" s="1"/>
  <c r="F50" i="37"/>
  <c r="P50" i="53" s="1"/>
  <c r="E50" i="37"/>
  <c r="P50" i="52" s="1"/>
  <c r="D50" i="37"/>
  <c r="P50" i="51" s="1"/>
  <c r="C50" i="37"/>
  <c r="P50" i="11" s="1"/>
  <c r="G49" i="37"/>
  <c r="P49" i="54" s="1"/>
  <c r="F49" i="37"/>
  <c r="P49" i="53" s="1"/>
  <c r="E49" i="37"/>
  <c r="P49" i="52" s="1"/>
  <c r="D49" i="37"/>
  <c r="P49" i="51" s="1"/>
  <c r="C49" i="37"/>
  <c r="P49" i="11" s="1"/>
  <c r="G48" i="37"/>
  <c r="P48" i="54" s="1"/>
  <c r="F48" i="37"/>
  <c r="P48" i="53" s="1"/>
  <c r="E48" i="37"/>
  <c r="P48" i="52" s="1"/>
  <c r="D48" i="37"/>
  <c r="P48" i="51" s="1"/>
  <c r="C48" i="37"/>
  <c r="P48" i="11" s="1"/>
  <c r="G47" i="37"/>
  <c r="P47" i="54" s="1"/>
  <c r="F47" i="37"/>
  <c r="P47" i="53" s="1"/>
  <c r="E47" i="37"/>
  <c r="P47" i="52" s="1"/>
  <c r="D47" i="37"/>
  <c r="P47" i="51" s="1"/>
  <c r="C47" i="37"/>
  <c r="P47" i="11" s="1"/>
  <c r="G46" i="37"/>
  <c r="P46" i="54" s="1"/>
  <c r="F46" i="37"/>
  <c r="P46" i="53" s="1"/>
  <c r="E46" i="37"/>
  <c r="P46" i="52" s="1"/>
  <c r="D46" i="37"/>
  <c r="P46" i="51" s="1"/>
  <c r="C46" i="37"/>
  <c r="P46" i="11" s="1"/>
  <c r="G45" i="37"/>
  <c r="P45" i="54" s="1"/>
  <c r="F45" i="37"/>
  <c r="P45" i="53" s="1"/>
  <c r="E45" i="37"/>
  <c r="P45" i="52" s="1"/>
  <c r="D45" i="37"/>
  <c r="P45" i="51" s="1"/>
  <c r="C45" i="37"/>
  <c r="P45" i="11" s="1"/>
  <c r="G44" i="37"/>
  <c r="P44" i="54" s="1"/>
  <c r="F44" i="37"/>
  <c r="P44" i="53" s="1"/>
  <c r="E44" i="37"/>
  <c r="P44" i="52" s="1"/>
  <c r="D44" i="37"/>
  <c r="P44" i="51" s="1"/>
  <c r="C44" i="37"/>
  <c r="P44" i="11" s="1"/>
  <c r="G43" i="37"/>
  <c r="P43" i="54" s="1"/>
  <c r="F43" i="37"/>
  <c r="P43" i="53" s="1"/>
  <c r="E43" i="37"/>
  <c r="P43" i="52" s="1"/>
  <c r="D43" i="37"/>
  <c r="P43" i="51" s="1"/>
  <c r="C43" i="37"/>
  <c r="P43" i="11" s="1"/>
  <c r="G42" i="37"/>
  <c r="P42" i="54" s="1"/>
  <c r="F42" i="37"/>
  <c r="P42" i="53" s="1"/>
  <c r="E42" i="37"/>
  <c r="P42" i="52" s="1"/>
  <c r="D42" i="37"/>
  <c r="P42" i="51" s="1"/>
  <c r="C42" i="37"/>
  <c r="P42" i="11" s="1"/>
  <c r="G41" i="37"/>
  <c r="P41" i="54" s="1"/>
  <c r="F41" i="37"/>
  <c r="P41" i="53" s="1"/>
  <c r="E41" i="37"/>
  <c r="P41" i="52" s="1"/>
  <c r="D41" i="37"/>
  <c r="P41" i="51" s="1"/>
  <c r="C41" i="37"/>
  <c r="P41" i="11" s="1"/>
  <c r="G40" i="37"/>
  <c r="P40" i="54" s="1"/>
  <c r="F40" i="37"/>
  <c r="P40" i="53" s="1"/>
  <c r="E40" i="37"/>
  <c r="P40" i="52" s="1"/>
  <c r="D40" i="37"/>
  <c r="P40" i="51" s="1"/>
  <c r="C40" i="37"/>
  <c r="P40" i="11" s="1"/>
  <c r="G39" i="37"/>
  <c r="P39" i="54" s="1"/>
  <c r="F39" i="37"/>
  <c r="P39" i="53" s="1"/>
  <c r="E39" i="37"/>
  <c r="P39" i="52" s="1"/>
  <c r="D39" i="37"/>
  <c r="P39" i="51" s="1"/>
  <c r="C39" i="37"/>
  <c r="P39" i="11" s="1"/>
  <c r="G38" i="37"/>
  <c r="P38" i="54" s="1"/>
  <c r="F38" i="37"/>
  <c r="P38" i="53" s="1"/>
  <c r="E38" i="37"/>
  <c r="P38" i="52" s="1"/>
  <c r="D38" i="37"/>
  <c r="P38" i="51" s="1"/>
  <c r="C38" i="37"/>
  <c r="P38" i="11" s="1"/>
  <c r="G37" i="37"/>
  <c r="P37" i="54" s="1"/>
  <c r="F37" i="37"/>
  <c r="P37" i="53" s="1"/>
  <c r="E37" i="37"/>
  <c r="P37" i="52" s="1"/>
  <c r="D37" i="37"/>
  <c r="P37" i="51" s="1"/>
  <c r="C37" i="37"/>
  <c r="P37" i="11" s="1"/>
  <c r="G36" i="37"/>
  <c r="P36" i="54" s="1"/>
  <c r="F36" i="37"/>
  <c r="P36" i="53" s="1"/>
  <c r="E36" i="37"/>
  <c r="P36" i="52" s="1"/>
  <c r="D36" i="37"/>
  <c r="P36" i="51" s="1"/>
  <c r="C36" i="37"/>
  <c r="P36" i="11" s="1"/>
  <c r="G35" i="37"/>
  <c r="P35" i="54" s="1"/>
  <c r="F35" i="37"/>
  <c r="P35" i="53" s="1"/>
  <c r="E35" i="37"/>
  <c r="P35" i="52" s="1"/>
  <c r="D35" i="37"/>
  <c r="P35" i="51" s="1"/>
  <c r="C35" i="37"/>
  <c r="P35" i="11" s="1"/>
  <c r="G34" i="37"/>
  <c r="P34" i="54" s="1"/>
  <c r="F34" i="37"/>
  <c r="P34" i="53" s="1"/>
  <c r="E34" i="37"/>
  <c r="P34" i="52" s="1"/>
  <c r="D34" i="37"/>
  <c r="P34" i="51" s="1"/>
  <c r="C34" i="37"/>
  <c r="P34" i="11" s="1"/>
  <c r="G33" i="37"/>
  <c r="P33" i="54" s="1"/>
  <c r="F33" i="37"/>
  <c r="P33" i="53" s="1"/>
  <c r="E33" i="37"/>
  <c r="P33" i="52" s="1"/>
  <c r="D33" i="37"/>
  <c r="P33" i="51" s="1"/>
  <c r="C33" i="37"/>
  <c r="P33" i="11" s="1"/>
  <c r="G32" i="37"/>
  <c r="P32" i="54" s="1"/>
  <c r="F32" i="37"/>
  <c r="P32" i="53" s="1"/>
  <c r="E32" i="37"/>
  <c r="P32" i="52" s="1"/>
  <c r="D32" i="37"/>
  <c r="P32" i="51" s="1"/>
  <c r="C32" i="37"/>
  <c r="P32" i="11" s="1"/>
  <c r="G31" i="37"/>
  <c r="P31" i="54" s="1"/>
  <c r="F31" i="37"/>
  <c r="P31" i="53" s="1"/>
  <c r="E31" i="37"/>
  <c r="P31" i="52" s="1"/>
  <c r="D31" i="37"/>
  <c r="P31" i="51" s="1"/>
  <c r="C31" i="37"/>
  <c r="P31" i="11" s="1"/>
  <c r="G30" i="37"/>
  <c r="P30" i="54" s="1"/>
  <c r="F30" i="37"/>
  <c r="P30" i="53" s="1"/>
  <c r="E30" i="37"/>
  <c r="P30" i="52" s="1"/>
  <c r="D30" i="37"/>
  <c r="P30" i="51" s="1"/>
  <c r="C30" i="37"/>
  <c r="P30" i="11" s="1"/>
  <c r="G29" i="37"/>
  <c r="P29" i="54" s="1"/>
  <c r="F29" i="37"/>
  <c r="P29" i="53" s="1"/>
  <c r="E29" i="37"/>
  <c r="P29" i="52" s="1"/>
  <c r="D29" i="37"/>
  <c r="P29" i="51" s="1"/>
  <c r="C29" i="37"/>
  <c r="P29" i="11" s="1"/>
  <c r="G28" i="37"/>
  <c r="P28" i="54" s="1"/>
  <c r="F28" i="37"/>
  <c r="P28" i="53" s="1"/>
  <c r="E28" i="37"/>
  <c r="P28" i="52" s="1"/>
  <c r="D28" i="37"/>
  <c r="P28" i="51" s="1"/>
  <c r="C28" i="37"/>
  <c r="P28" i="11" s="1"/>
  <c r="G27" i="37"/>
  <c r="P27" i="54" s="1"/>
  <c r="F27" i="37"/>
  <c r="P27" i="53" s="1"/>
  <c r="E27" i="37"/>
  <c r="P27" i="52" s="1"/>
  <c r="D27" i="37"/>
  <c r="P27" i="51" s="1"/>
  <c r="C27" i="37"/>
  <c r="P27" i="11" s="1"/>
  <c r="G26" i="37"/>
  <c r="P26" i="54" s="1"/>
  <c r="F26" i="37"/>
  <c r="P26" i="53" s="1"/>
  <c r="E26" i="37"/>
  <c r="P26" i="52" s="1"/>
  <c r="D26" i="37"/>
  <c r="P26" i="51" s="1"/>
  <c r="C26" i="37"/>
  <c r="P26" i="11" s="1"/>
  <c r="G25" i="37"/>
  <c r="P25" i="54" s="1"/>
  <c r="F25" i="37"/>
  <c r="P25" i="53" s="1"/>
  <c r="E25" i="37"/>
  <c r="P25" i="52" s="1"/>
  <c r="D25" i="37"/>
  <c r="P25" i="51" s="1"/>
  <c r="C25" i="37"/>
  <c r="P25" i="11" s="1"/>
  <c r="G24" i="37"/>
  <c r="P24" i="54" s="1"/>
  <c r="F24" i="37"/>
  <c r="P24" i="53" s="1"/>
  <c r="E24" i="37"/>
  <c r="P24" i="52" s="1"/>
  <c r="D24" i="37"/>
  <c r="P24" i="51" s="1"/>
  <c r="C24" i="37"/>
  <c r="P24" i="11" s="1"/>
  <c r="G23" i="37"/>
  <c r="P23" i="54" s="1"/>
  <c r="F23" i="37"/>
  <c r="P23" i="53" s="1"/>
  <c r="E23" i="37"/>
  <c r="P23" i="52" s="1"/>
  <c r="D23" i="37"/>
  <c r="P23" i="51" s="1"/>
  <c r="C23" i="37"/>
  <c r="P23" i="11" s="1"/>
  <c r="G22" i="37"/>
  <c r="P22" i="54" s="1"/>
  <c r="F22" i="37"/>
  <c r="P22" i="53" s="1"/>
  <c r="E22" i="37"/>
  <c r="P22" i="52" s="1"/>
  <c r="D22" i="37"/>
  <c r="P22" i="51" s="1"/>
  <c r="C22" i="37"/>
  <c r="P22" i="11" s="1"/>
  <c r="G21" i="37"/>
  <c r="P21" i="54" s="1"/>
  <c r="F21" i="37"/>
  <c r="P21" i="53" s="1"/>
  <c r="E21" i="37"/>
  <c r="P21" i="52" s="1"/>
  <c r="D21" i="37"/>
  <c r="P21" i="51" s="1"/>
  <c r="C21" i="37"/>
  <c r="P21" i="11" s="1"/>
  <c r="G20" i="37"/>
  <c r="P20" i="54" s="1"/>
  <c r="F20" i="37"/>
  <c r="P20" i="53" s="1"/>
  <c r="E20" i="37"/>
  <c r="P20" i="52" s="1"/>
  <c r="D20" i="37"/>
  <c r="P20" i="51" s="1"/>
  <c r="C20" i="37"/>
  <c r="P20" i="11" s="1"/>
  <c r="G19" i="37"/>
  <c r="P19" i="54" s="1"/>
  <c r="F19" i="37"/>
  <c r="P19" i="53" s="1"/>
  <c r="E19" i="37"/>
  <c r="P19" i="52" s="1"/>
  <c r="D19" i="37"/>
  <c r="P19" i="51" s="1"/>
  <c r="C19" i="37"/>
  <c r="P19" i="11" s="1"/>
  <c r="G18" i="37"/>
  <c r="P18" i="54" s="1"/>
  <c r="F18" i="37"/>
  <c r="P18" i="53" s="1"/>
  <c r="E18" i="37"/>
  <c r="P18" i="52" s="1"/>
  <c r="D18" i="37"/>
  <c r="P18" i="51" s="1"/>
  <c r="C18" i="37"/>
  <c r="P18" i="11" s="1"/>
  <c r="G17" i="37"/>
  <c r="P17" i="54" s="1"/>
  <c r="F17" i="37"/>
  <c r="P17" i="53" s="1"/>
  <c r="E17" i="37"/>
  <c r="P17" i="52" s="1"/>
  <c r="D17" i="37"/>
  <c r="P17" i="51" s="1"/>
  <c r="C17" i="37"/>
  <c r="P17" i="11" s="1"/>
  <c r="G16" i="37"/>
  <c r="P16" i="54" s="1"/>
  <c r="F16" i="37"/>
  <c r="P16" i="53" s="1"/>
  <c r="E16" i="37"/>
  <c r="P16" i="52" s="1"/>
  <c r="D16" i="37"/>
  <c r="P16" i="51" s="1"/>
  <c r="C16" i="37"/>
  <c r="P16" i="11" s="1"/>
  <c r="G15" i="37"/>
  <c r="P15" i="54" s="1"/>
  <c r="F15" i="37"/>
  <c r="P15" i="53" s="1"/>
  <c r="E15" i="37"/>
  <c r="P15" i="52" s="1"/>
  <c r="D15" i="37"/>
  <c r="P15" i="51" s="1"/>
  <c r="C15" i="37"/>
  <c r="P15" i="11" s="1"/>
  <c r="G14" i="37"/>
  <c r="P14" i="54" s="1"/>
  <c r="F14" i="37"/>
  <c r="P14" i="53" s="1"/>
  <c r="E14" i="37"/>
  <c r="P14" i="52" s="1"/>
  <c r="D14" i="37"/>
  <c r="P14" i="51" s="1"/>
  <c r="C14" i="37"/>
  <c r="P14" i="11" s="1"/>
  <c r="G13" i="37"/>
  <c r="P13" i="54" s="1"/>
  <c r="F13" i="37"/>
  <c r="P13" i="53" s="1"/>
  <c r="E13" i="37"/>
  <c r="P13" i="52" s="1"/>
  <c r="D13" i="37"/>
  <c r="P13" i="51" s="1"/>
  <c r="C13" i="37"/>
  <c r="P13" i="11" s="1"/>
  <c r="G12" i="37"/>
  <c r="P12" i="54" s="1"/>
  <c r="F12" i="37"/>
  <c r="P12" i="53" s="1"/>
  <c r="E12" i="37"/>
  <c r="P12" i="52" s="1"/>
  <c r="D12" i="37"/>
  <c r="P12" i="51" s="1"/>
  <c r="C12" i="37"/>
  <c r="P12" i="11" s="1"/>
  <c r="G11" i="37"/>
  <c r="P11" i="54" s="1"/>
  <c r="F11" i="37"/>
  <c r="P11" i="53" s="1"/>
  <c r="E11" i="37"/>
  <c r="P11" i="52" s="1"/>
  <c r="D11" i="37"/>
  <c r="P11" i="51" s="1"/>
  <c r="C11" i="37"/>
  <c r="P11" i="11" s="1"/>
  <c r="G10" i="37"/>
  <c r="P10" i="54" s="1"/>
  <c r="F10" i="37"/>
  <c r="P10" i="53" s="1"/>
  <c r="E10" i="37"/>
  <c r="P10" i="52" s="1"/>
  <c r="D10" i="37"/>
  <c r="P10" i="51" s="1"/>
  <c r="C10" i="37"/>
  <c r="P10" i="11" s="1"/>
  <c r="G9" i="37"/>
  <c r="P9" i="54" s="1"/>
  <c r="F9" i="37"/>
  <c r="P9" i="53" s="1"/>
  <c r="E9" i="37"/>
  <c r="P9" i="52" s="1"/>
  <c r="D9" i="37"/>
  <c r="P9" i="51" s="1"/>
  <c r="C9" i="37"/>
  <c r="P9" i="11" s="1"/>
  <c r="G58" i="36"/>
  <c r="Q58" i="54" s="1"/>
  <c r="F58" i="36"/>
  <c r="Q58" i="53" s="1"/>
  <c r="E58" i="36"/>
  <c r="Q58" i="52" s="1"/>
  <c r="D58" i="36"/>
  <c r="Q58" i="51" s="1"/>
  <c r="C58" i="36"/>
  <c r="Q58" i="11" s="1"/>
  <c r="G57" i="36"/>
  <c r="Q57" i="54" s="1"/>
  <c r="F57" i="36"/>
  <c r="Q57" i="53" s="1"/>
  <c r="E57" i="36"/>
  <c r="Q57" i="52" s="1"/>
  <c r="D57" i="36"/>
  <c r="Q57" i="51" s="1"/>
  <c r="C57" i="36"/>
  <c r="Q57" i="11" s="1"/>
  <c r="G56" i="36"/>
  <c r="Q56" i="54" s="1"/>
  <c r="F56" i="36"/>
  <c r="Q56" i="53" s="1"/>
  <c r="E56" i="36"/>
  <c r="Q56" i="52" s="1"/>
  <c r="D56" i="36"/>
  <c r="Q56" i="51" s="1"/>
  <c r="C56" i="36"/>
  <c r="Q56" i="11" s="1"/>
  <c r="G55" i="36"/>
  <c r="Q55" i="54" s="1"/>
  <c r="F55" i="36"/>
  <c r="Q55" i="53" s="1"/>
  <c r="E55" i="36"/>
  <c r="Q55" i="52" s="1"/>
  <c r="D55" i="36"/>
  <c r="Q55" i="51" s="1"/>
  <c r="C55" i="36"/>
  <c r="Q55" i="11" s="1"/>
  <c r="G54" i="36"/>
  <c r="Q54" i="54" s="1"/>
  <c r="F54" i="36"/>
  <c r="Q54" i="53" s="1"/>
  <c r="E54" i="36"/>
  <c r="Q54" i="52" s="1"/>
  <c r="D54" i="36"/>
  <c r="Q54" i="51" s="1"/>
  <c r="C54" i="36"/>
  <c r="Q54" i="11" s="1"/>
  <c r="G53" i="36"/>
  <c r="Q53" i="54" s="1"/>
  <c r="F53" i="36"/>
  <c r="Q53" i="53" s="1"/>
  <c r="E53" i="36"/>
  <c r="Q53" i="52" s="1"/>
  <c r="D53" i="36"/>
  <c r="Q53" i="51" s="1"/>
  <c r="C53" i="36"/>
  <c r="Q53" i="11" s="1"/>
  <c r="G52" i="36"/>
  <c r="Q52" i="54" s="1"/>
  <c r="F52" i="36"/>
  <c r="Q52" i="53" s="1"/>
  <c r="E52" i="36"/>
  <c r="Q52" i="52" s="1"/>
  <c r="D52" i="36"/>
  <c r="Q52" i="51" s="1"/>
  <c r="C52" i="36"/>
  <c r="Q52" i="11" s="1"/>
  <c r="G51" i="36"/>
  <c r="Q51" i="54" s="1"/>
  <c r="F51" i="36"/>
  <c r="Q51" i="53" s="1"/>
  <c r="E51" i="36"/>
  <c r="Q51" i="52" s="1"/>
  <c r="D51" i="36"/>
  <c r="Q51" i="51" s="1"/>
  <c r="C51" i="36"/>
  <c r="Q51" i="11" s="1"/>
  <c r="G50" i="36"/>
  <c r="Q50" i="54" s="1"/>
  <c r="F50" i="36"/>
  <c r="Q50" i="53" s="1"/>
  <c r="E50" i="36"/>
  <c r="Q50" i="52" s="1"/>
  <c r="D50" i="36"/>
  <c r="Q50" i="51" s="1"/>
  <c r="C50" i="36"/>
  <c r="Q50" i="11" s="1"/>
  <c r="G49" i="36"/>
  <c r="Q49" i="54" s="1"/>
  <c r="F49" i="36"/>
  <c r="Q49" i="53" s="1"/>
  <c r="E49" i="36"/>
  <c r="Q49" i="52" s="1"/>
  <c r="D49" i="36"/>
  <c r="Q49" i="51" s="1"/>
  <c r="C49" i="36"/>
  <c r="Q49" i="11" s="1"/>
  <c r="G48" i="36"/>
  <c r="Q48" i="54" s="1"/>
  <c r="F48" i="36"/>
  <c r="Q48" i="53" s="1"/>
  <c r="E48" i="36"/>
  <c r="Q48" i="52" s="1"/>
  <c r="D48" i="36"/>
  <c r="Q48" i="51" s="1"/>
  <c r="C48" i="36"/>
  <c r="Q48" i="11" s="1"/>
  <c r="G47" i="36"/>
  <c r="Q47" i="54" s="1"/>
  <c r="F47" i="36"/>
  <c r="Q47" i="53" s="1"/>
  <c r="E47" i="36"/>
  <c r="Q47" i="52" s="1"/>
  <c r="D47" i="36"/>
  <c r="Q47" i="51" s="1"/>
  <c r="C47" i="36"/>
  <c r="Q47" i="11" s="1"/>
  <c r="G46" i="36"/>
  <c r="Q46" i="54" s="1"/>
  <c r="F46" i="36"/>
  <c r="Q46" i="53" s="1"/>
  <c r="E46" i="36"/>
  <c r="Q46" i="52" s="1"/>
  <c r="D46" i="36"/>
  <c r="Q46" i="51" s="1"/>
  <c r="C46" i="36"/>
  <c r="Q46" i="11" s="1"/>
  <c r="G45" i="36"/>
  <c r="Q45" i="54" s="1"/>
  <c r="F45" i="36"/>
  <c r="Q45" i="53" s="1"/>
  <c r="E45" i="36"/>
  <c r="Q45" i="52" s="1"/>
  <c r="D45" i="36"/>
  <c r="Q45" i="51" s="1"/>
  <c r="C45" i="36"/>
  <c r="Q45" i="11" s="1"/>
  <c r="G44" i="36"/>
  <c r="Q44" i="54" s="1"/>
  <c r="F44" i="36"/>
  <c r="Q44" i="53" s="1"/>
  <c r="E44" i="36"/>
  <c r="Q44" i="52" s="1"/>
  <c r="D44" i="36"/>
  <c r="Q44" i="51" s="1"/>
  <c r="C44" i="36"/>
  <c r="Q44" i="11" s="1"/>
  <c r="G43" i="36"/>
  <c r="Q43" i="54" s="1"/>
  <c r="F43" i="36"/>
  <c r="Q43" i="53" s="1"/>
  <c r="E43" i="36"/>
  <c r="Q43" i="52" s="1"/>
  <c r="D43" i="36"/>
  <c r="Q43" i="51" s="1"/>
  <c r="C43" i="36"/>
  <c r="Q43" i="11" s="1"/>
  <c r="G42" i="36"/>
  <c r="Q42" i="54" s="1"/>
  <c r="F42" i="36"/>
  <c r="Q42" i="53" s="1"/>
  <c r="E42" i="36"/>
  <c r="Q42" i="52" s="1"/>
  <c r="D42" i="36"/>
  <c r="Q42" i="51" s="1"/>
  <c r="C42" i="36"/>
  <c r="Q42" i="11" s="1"/>
  <c r="G41" i="36"/>
  <c r="Q41" i="54" s="1"/>
  <c r="F41" i="36"/>
  <c r="Q41" i="53" s="1"/>
  <c r="E41" i="36"/>
  <c r="Q41" i="52" s="1"/>
  <c r="D41" i="36"/>
  <c r="Q41" i="51" s="1"/>
  <c r="C41" i="36"/>
  <c r="Q41" i="11" s="1"/>
  <c r="G40" i="36"/>
  <c r="Q40" i="54" s="1"/>
  <c r="F40" i="36"/>
  <c r="Q40" i="53" s="1"/>
  <c r="E40" i="36"/>
  <c r="Q40" i="52" s="1"/>
  <c r="D40" i="36"/>
  <c r="Q40" i="51" s="1"/>
  <c r="C40" i="36"/>
  <c r="Q40" i="11" s="1"/>
  <c r="G39" i="36"/>
  <c r="Q39" i="54" s="1"/>
  <c r="F39" i="36"/>
  <c r="Q39" i="53" s="1"/>
  <c r="E39" i="36"/>
  <c r="Q39" i="52" s="1"/>
  <c r="D39" i="36"/>
  <c r="Q39" i="51" s="1"/>
  <c r="C39" i="36"/>
  <c r="Q39" i="11" s="1"/>
  <c r="G38" i="36"/>
  <c r="Q38" i="54" s="1"/>
  <c r="F38" i="36"/>
  <c r="Q38" i="53" s="1"/>
  <c r="E38" i="36"/>
  <c r="Q38" i="52" s="1"/>
  <c r="D38" i="36"/>
  <c r="Q38" i="51" s="1"/>
  <c r="C38" i="36"/>
  <c r="Q38" i="11" s="1"/>
  <c r="G37" i="36"/>
  <c r="Q37" i="54" s="1"/>
  <c r="F37" i="36"/>
  <c r="Q37" i="53" s="1"/>
  <c r="E37" i="36"/>
  <c r="Q37" i="52" s="1"/>
  <c r="D37" i="36"/>
  <c r="Q37" i="51" s="1"/>
  <c r="C37" i="36"/>
  <c r="Q37" i="11" s="1"/>
  <c r="G36" i="36"/>
  <c r="Q36" i="54" s="1"/>
  <c r="F36" i="36"/>
  <c r="Q36" i="53" s="1"/>
  <c r="E36" i="36"/>
  <c r="Q36" i="52" s="1"/>
  <c r="D36" i="36"/>
  <c r="Q36" i="51" s="1"/>
  <c r="C36" i="36"/>
  <c r="Q36" i="11" s="1"/>
  <c r="G35" i="36"/>
  <c r="Q35" i="54" s="1"/>
  <c r="F35" i="36"/>
  <c r="Q35" i="53" s="1"/>
  <c r="E35" i="36"/>
  <c r="Q35" i="52" s="1"/>
  <c r="D35" i="36"/>
  <c r="Q35" i="51" s="1"/>
  <c r="C35" i="36"/>
  <c r="Q35" i="11" s="1"/>
  <c r="G34" i="36"/>
  <c r="Q34" i="54" s="1"/>
  <c r="F34" i="36"/>
  <c r="Q34" i="53" s="1"/>
  <c r="E34" i="36"/>
  <c r="Q34" i="52" s="1"/>
  <c r="D34" i="36"/>
  <c r="Q34" i="51" s="1"/>
  <c r="C34" i="36"/>
  <c r="Q34" i="11" s="1"/>
  <c r="G33" i="36"/>
  <c r="Q33" i="54" s="1"/>
  <c r="F33" i="36"/>
  <c r="Q33" i="53" s="1"/>
  <c r="E33" i="36"/>
  <c r="Q33" i="52" s="1"/>
  <c r="D33" i="36"/>
  <c r="Q33" i="51" s="1"/>
  <c r="C33" i="36"/>
  <c r="Q33" i="11" s="1"/>
  <c r="G32" i="36"/>
  <c r="Q32" i="54" s="1"/>
  <c r="F32" i="36"/>
  <c r="Q32" i="53" s="1"/>
  <c r="E32" i="36"/>
  <c r="Q32" i="52" s="1"/>
  <c r="D32" i="36"/>
  <c r="Q32" i="51" s="1"/>
  <c r="C32" i="36"/>
  <c r="Q32" i="11" s="1"/>
  <c r="G31" i="36"/>
  <c r="Q31" i="54" s="1"/>
  <c r="F31" i="36"/>
  <c r="Q31" i="53" s="1"/>
  <c r="E31" i="36"/>
  <c r="Q31" i="52" s="1"/>
  <c r="D31" i="36"/>
  <c r="Q31" i="51" s="1"/>
  <c r="C31" i="36"/>
  <c r="Q31" i="11" s="1"/>
  <c r="G30" i="36"/>
  <c r="Q30" i="54" s="1"/>
  <c r="F30" i="36"/>
  <c r="Q30" i="53" s="1"/>
  <c r="E30" i="36"/>
  <c r="Q30" i="52" s="1"/>
  <c r="D30" i="36"/>
  <c r="Q30" i="51" s="1"/>
  <c r="C30" i="36"/>
  <c r="Q30" i="11" s="1"/>
  <c r="G29" i="36"/>
  <c r="Q29" i="54" s="1"/>
  <c r="F29" i="36"/>
  <c r="Q29" i="53" s="1"/>
  <c r="E29" i="36"/>
  <c r="Q29" i="52" s="1"/>
  <c r="D29" i="36"/>
  <c r="Q29" i="51" s="1"/>
  <c r="C29" i="36"/>
  <c r="Q29" i="11" s="1"/>
  <c r="G28" i="36"/>
  <c r="Q28" i="54" s="1"/>
  <c r="F28" i="36"/>
  <c r="Q28" i="53" s="1"/>
  <c r="E28" i="36"/>
  <c r="Q28" i="52" s="1"/>
  <c r="D28" i="36"/>
  <c r="Q28" i="51" s="1"/>
  <c r="C28" i="36"/>
  <c r="Q28" i="11" s="1"/>
  <c r="G27" i="36"/>
  <c r="Q27" i="54" s="1"/>
  <c r="F27" i="36"/>
  <c r="Q27" i="53" s="1"/>
  <c r="E27" i="36"/>
  <c r="Q27" i="52" s="1"/>
  <c r="D27" i="36"/>
  <c r="Q27" i="51" s="1"/>
  <c r="C27" i="36"/>
  <c r="Q27" i="11" s="1"/>
  <c r="G26" i="36"/>
  <c r="Q26" i="54" s="1"/>
  <c r="F26" i="36"/>
  <c r="Q26" i="53" s="1"/>
  <c r="E26" i="36"/>
  <c r="Q26" i="52" s="1"/>
  <c r="D26" i="36"/>
  <c r="Q26" i="51" s="1"/>
  <c r="C26" i="36"/>
  <c r="Q26" i="11" s="1"/>
  <c r="G25" i="36"/>
  <c r="Q25" i="54" s="1"/>
  <c r="F25" i="36"/>
  <c r="Q25" i="53" s="1"/>
  <c r="E25" i="36"/>
  <c r="Q25" i="52" s="1"/>
  <c r="D25" i="36"/>
  <c r="Q25" i="51" s="1"/>
  <c r="C25" i="36"/>
  <c r="Q25" i="11" s="1"/>
  <c r="G24" i="36"/>
  <c r="Q24" i="54" s="1"/>
  <c r="F24" i="36"/>
  <c r="Q24" i="53" s="1"/>
  <c r="E24" i="36"/>
  <c r="Q24" i="52" s="1"/>
  <c r="D24" i="36"/>
  <c r="Q24" i="51" s="1"/>
  <c r="C24" i="36"/>
  <c r="Q24" i="11" s="1"/>
  <c r="G23" i="36"/>
  <c r="Q23" i="54" s="1"/>
  <c r="F23" i="36"/>
  <c r="Q23" i="53" s="1"/>
  <c r="E23" i="36"/>
  <c r="Q23" i="52" s="1"/>
  <c r="D23" i="36"/>
  <c r="Q23" i="51" s="1"/>
  <c r="C23" i="36"/>
  <c r="Q23" i="11" s="1"/>
  <c r="G22" i="36"/>
  <c r="Q22" i="54" s="1"/>
  <c r="F22" i="36"/>
  <c r="Q22" i="53" s="1"/>
  <c r="E22" i="36"/>
  <c r="Q22" i="52" s="1"/>
  <c r="D22" i="36"/>
  <c r="Q22" i="51" s="1"/>
  <c r="C22" i="36"/>
  <c r="Q22" i="11" s="1"/>
  <c r="G21" i="36"/>
  <c r="Q21" i="54" s="1"/>
  <c r="F21" i="36"/>
  <c r="Q21" i="53" s="1"/>
  <c r="E21" i="36"/>
  <c r="Q21" i="52" s="1"/>
  <c r="D21" i="36"/>
  <c r="Q21" i="51" s="1"/>
  <c r="C21" i="36"/>
  <c r="Q21" i="11" s="1"/>
  <c r="G20" i="36"/>
  <c r="Q20" i="54" s="1"/>
  <c r="F20" i="36"/>
  <c r="Q20" i="53" s="1"/>
  <c r="E20" i="36"/>
  <c r="Q20" i="52" s="1"/>
  <c r="D20" i="36"/>
  <c r="Q20" i="51" s="1"/>
  <c r="C20" i="36"/>
  <c r="Q20" i="11" s="1"/>
  <c r="G19" i="36"/>
  <c r="Q19" i="54" s="1"/>
  <c r="F19" i="36"/>
  <c r="Q19" i="53" s="1"/>
  <c r="E19" i="36"/>
  <c r="Q19" i="52" s="1"/>
  <c r="D19" i="36"/>
  <c r="Q19" i="51" s="1"/>
  <c r="C19" i="36"/>
  <c r="Q19" i="11" s="1"/>
  <c r="G18" i="36"/>
  <c r="Q18" i="54" s="1"/>
  <c r="F18" i="36"/>
  <c r="Q18" i="53" s="1"/>
  <c r="E18" i="36"/>
  <c r="Q18" i="52" s="1"/>
  <c r="D18" i="36"/>
  <c r="Q18" i="51" s="1"/>
  <c r="C18" i="36"/>
  <c r="Q18" i="11" s="1"/>
  <c r="G17" i="36"/>
  <c r="Q17" i="54" s="1"/>
  <c r="F17" i="36"/>
  <c r="Q17" i="53" s="1"/>
  <c r="E17" i="36"/>
  <c r="Q17" i="52" s="1"/>
  <c r="D17" i="36"/>
  <c r="Q17" i="51" s="1"/>
  <c r="C17" i="36"/>
  <c r="Q17" i="11" s="1"/>
  <c r="G16" i="36"/>
  <c r="Q16" i="54" s="1"/>
  <c r="F16" i="36"/>
  <c r="Q16" i="53" s="1"/>
  <c r="E16" i="36"/>
  <c r="Q16" i="52" s="1"/>
  <c r="D16" i="36"/>
  <c r="Q16" i="51" s="1"/>
  <c r="C16" i="36"/>
  <c r="Q16" i="11" s="1"/>
  <c r="G15" i="36"/>
  <c r="Q15" i="54" s="1"/>
  <c r="F15" i="36"/>
  <c r="Q15" i="53" s="1"/>
  <c r="E15" i="36"/>
  <c r="Q15" i="52" s="1"/>
  <c r="D15" i="36"/>
  <c r="Q15" i="51" s="1"/>
  <c r="C15" i="36"/>
  <c r="Q15" i="11" s="1"/>
  <c r="G14" i="36"/>
  <c r="Q14" i="54" s="1"/>
  <c r="F14" i="36"/>
  <c r="Q14" i="53" s="1"/>
  <c r="E14" i="36"/>
  <c r="Q14" i="52" s="1"/>
  <c r="D14" i="36"/>
  <c r="Q14" i="51" s="1"/>
  <c r="C14" i="36"/>
  <c r="Q14" i="11" s="1"/>
  <c r="G13" i="36"/>
  <c r="Q13" i="54" s="1"/>
  <c r="F13" i="36"/>
  <c r="Q13" i="53" s="1"/>
  <c r="E13" i="36"/>
  <c r="Q13" i="52" s="1"/>
  <c r="D13" i="36"/>
  <c r="Q13" i="51" s="1"/>
  <c r="C13" i="36"/>
  <c r="Q13" i="11" s="1"/>
  <c r="G12" i="36"/>
  <c r="Q12" i="54" s="1"/>
  <c r="F12" i="36"/>
  <c r="Q12" i="53" s="1"/>
  <c r="E12" i="36"/>
  <c r="Q12" i="52" s="1"/>
  <c r="D12" i="36"/>
  <c r="Q12" i="51" s="1"/>
  <c r="C12" i="36"/>
  <c r="Q12" i="11" s="1"/>
  <c r="G11" i="36"/>
  <c r="Q11" i="54" s="1"/>
  <c r="F11" i="36"/>
  <c r="Q11" i="53" s="1"/>
  <c r="E11" i="36"/>
  <c r="Q11" i="52" s="1"/>
  <c r="D11" i="36"/>
  <c r="Q11" i="51" s="1"/>
  <c r="C11" i="36"/>
  <c r="Q11" i="11" s="1"/>
  <c r="G10" i="36"/>
  <c r="Q10" i="54" s="1"/>
  <c r="F10" i="36"/>
  <c r="Q10" i="53" s="1"/>
  <c r="E10" i="36"/>
  <c r="Q10" i="52" s="1"/>
  <c r="D10" i="36"/>
  <c r="Q10" i="51" s="1"/>
  <c r="C10" i="36"/>
  <c r="Q10" i="11" s="1"/>
  <c r="G9" i="36"/>
  <c r="Q9" i="54" s="1"/>
  <c r="F9" i="36"/>
  <c r="Q9" i="53" s="1"/>
  <c r="E9" i="36"/>
  <c r="Q9" i="52" s="1"/>
  <c r="D9" i="36"/>
  <c r="Q9" i="51" s="1"/>
  <c r="C9" i="36"/>
  <c r="Q9" i="11" s="1"/>
  <c r="G58" i="35"/>
  <c r="R58" i="54" s="1"/>
  <c r="F58" i="35"/>
  <c r="R58" i="53" s="1"/>
  <c r="E58" i="35"/>
  <c r="R58" i="52" s="1"/>
  <c r="D58" i="35"/>
  <c r="R58" i="51" s="1"/>
  <c r="C58" i="35"/>
  <c r="R58" i="11" s="1"/>
  <c r="G57" i="35"/>
  <c r="R57" i="54" s="1"/>
  <c r="F57" i="35"/>
  <c r="R57" i="53" s="1"/>
  <c r="E57" i="35"/>
  <c r="R57" i="52" s="1"/>
  <c r="D57" i="35"/>
  <c r="R57" i="51" s="1"/>
  <c r="C57" i="35"/>
  <c r="R57" i="11" s="1"/>
  <c r="G56" i="35"/>
  <c r="R56" i="54" s="1"/>
  <c r="F56" i="35"/>
  <c r="R56" i="53" s="1"/>
  <c r="E56" i="35"/>
  <c r="R56" i="52" s="1"/>
  <c r="D56" i="35"/>
  <c r="R56" i="51" s="1"/>
  <c r="C56" i="35"/>
  <c r="R56" i="11" s="1"/>
  <c r="G55" i="35"/>
  <c r="R55" i="54" s="1"/>
  <c r="F55" i="35"/>
  <c r="R55" i="53" s="1"/>
  <c r="E55" i="35"/>
  <c r="R55" i="52" s="1"/>
  <c r="D55" i="35"/>
  <c r="R55" i="51" s="1"/>
  <c r="C55" i="35"/>
  <c r="R55" i="11" s="1"/>
  <c r="G54" i="35"/>
  <c r="R54" i="54" s="1"/>
  <c r="F54" i="35"/>
  <c r="R54" i="53" s="1"/>
  <c r="E54" i="35"/>
  <c r="R54" i="52" s="1"/>
  <c r="D54" i="35"/>
  <c r="R54" i="51" s="1"/>
  <c r="C54" i="35"/>
  <c r="R54" i="11" s="1"/>
  <c r="G53" i="35"/>
  <c r="R53" i="54" s="1"/>
  <c r="F53" i="35"/>
  <c r="R53" i="53" s="1"/>
  <c r="E53" i="35"/>
  <c r="R53" i="52" s="1"/>
  <c r="D53" i="35"/>
  <c r="R53" i="51" s="1"/>
  <c r="C53" i="35"/>
  <c r="R53" i="11" s="1"/>
  <c r="G52" i="35"/>
  <c r="R52" i="54" s="1"/>
  <c r="F52" i="35"/>
  <c r="R52" i="53" s="1"/>
  <c r="E52" i="35"/>
  <c r="R52" i="52" s="1"/>
  <c r="D52" i="35"/>
  <c r="R52" i="51" s="1"/>
  <c r="C52" i="35"/>
  <c r="R52" i="11" s="1"/>
  <c r="G51" i="35"/>
  <c r="R51" i="54" s="1"/>
  <c r="F51" i="35"/>
  <c r="R51" i="53" s="1"/>
  <c r="E51" i="35"/>
  <c r="R51" i="52" s="1"/>
  <c r="D51" i="35"/>
  <c r="R51" i="51" s="1"/>
  <c r="C51" i="35"/>
  <c r="R51" i="11" s="1"/>
  <c r="G50" i="35"/>
  <c r="R50" i="54" s="1"/>
  <c r="F50" i="35"/>
  <c r="R50" i="53" s="1"/>
  <c r="E50" i="35"/>
  <c r="R50" i="52" s="1"/>
  <c r="D50" i="35"/>
  <c r="R50" i="51" s="1"/>
  <c r="C50" i="35"/>
  <c r="R50" i="11" s="1"/>
  <c r="G49" i="35"/>
  <c r="R49" i="54" s="1"/>
  <c r="F49" i="35"/>
  <c r="R49" i="53" s="1"/>
  <c r="E49" i="35"/>
  <c r="R49" i="52" s="1"/>
  <c r="D49" i="35"/>
  <c r="R49" i="51" s="1"/>
  <c r="C49" i="35"/>
  <c r="R49" i="11" s="1"/>
  <c r="G48" i="35"/>
  <c r="R48" i="54" s="1"/>
  <c r="F48" i="35"/>
  <c r="R48" i="53" s="1"/>
  <c r="E48" i="35"/>
  <c r="R48" i="52" s="1"/>
  <c r="D48" i="35"/>
  <c r="R48" i="51" s="1"/>
  <c r="C48" i="35"/>
  <c r="R48" i="11" s="1"/>
  <c r="G47" i="35"/>
  <c r="R47" i="54" s="1"/>
  <c r="F47" i="35"/>
  <c r="R47" i="53" s="1"/>
  <c r="E47" i="35"/>
  <c r="R47" i="52" s="1"/>
  <c r="D47" i="35"/>
  <c r="R47" i="51" s="1"/>
  <c r="C47" i="35"/>
  <c r="R47" i="11" s="1"/>
  <c r="G46" i="35"/>
  <c r="R46" i="54" s="1"/>
  <c r="F46" i="35"/>
  <c r="R46" i="53" s="1"/>
  <c r="E46" i="35"/>
  <c r="R46" i="52" s="1"/>
  <c r="D46" i="35"/>
  <c r="R46" i="51" s="1"/>
  <c r="C46" i="35"/>
  <c r="R46" i="11" s="1"/>
  <c r="G45" i="35"/>
  <c r="R45" i="54" s="1"/>
  <c r="F45" i="35"/>
  <c r="R45" i="53" s="1"/>
  <c r="E45" i="35"/>
  <c r="R45" i="52" s="1"/>
  <c r="D45" i="35"/>
  <c r="R45" i="51" s="1"/>
  <c r="C45" i="35"/>
  <c r="R45" i="11" s="1"/>
  <c r="G44" i="35"/>
  <c r="R44" i="54" s="1"/>
  <c r="F44" i="35"/>
  <c r="R44" i="53" s="1"/>
  <c r="E44" i="35"/>
  <c r="R44" i="52" s="1"/>
  <c r="D44" i="35"/>
  <c r="R44" i="51" s="1"/>
  <c r="C44" i="35"/>
  <c r="R44" i="11" s="1"/>
  <c r="G43" i="35"/>
  <c r="R43" i="54" s="1"/>
  <c r="F43" i="35"/>
  <c r="R43" i="53" s="1"/>
  <c r="E43" i="35"/>
  <c r="R43" i="52" s="1"/>
  <c r="D43" i="35"/>
  <c r="R43" i="51" s="1"/>
  <c r="C43" i="35"/>
  <c r="R43" i="11" s="1"/>
  <c r="G42" i="35"/>
  <c r="R42" i="54" s="1"/>
  <c r="F42" i="35"/>
  <c r="R42" i="53" s="1"/>
  <c r="E42" i="35"/>
  <c r="R42" i="52" s="1"/>
  <c r="D42" i="35"/>
  <c r="R42" i="51" s="1"/>
  <c r="C42" i="35"/>
  <c r="R42" i="11" s="1"/>
  <c r="G41" i="35"/>
  <c r="R41" i="54" s="1"/>
  <c r="F41" i="35"/>
  <c r="R41" i="53" s="1"/>
  <c r="E41" i="35"/>
  <c r="R41" i="52" s="1"/>
  <c r="D41" i="35"/>
  <c r="R41" i="51" s="1"/>
  <c r="C41" i="35"/>
  <c r="R41" i="11" s="1"/>
  <c r="G40" i="35"/>
  <c r="R40" i="54" s="1"/>
  <c r="F40" i="35"/>
  <c r="R40" i="53" s="1"/>
  <c r="E40" i="35"/>
  <c r="R40" i="52" s="1"/>
  <c r="D40" i="35"/>
  <c r="R40" i="51" s="1"/>
  <c r="C40" i="35"/>
  <c r="R40" i="11" s="1"/>
  <c r="G39" i="35"/>
  <c r="R39" i="54" s="1"/>
  <c r="F39" i="35"/>
  <c r="R39" i="53" s="1"/>
  <c r="E39" i="35"/>
  <c r="R39" i="52" s="1"/>
  <c r="D39" i="35"/>
  <c r="R39" i="51" s="1"/>
  <c r="C39" i="35"/>
  <c r="R39" i="11" s="1"/>
  <c r="G38" i="35"/>
  <c r="R38" i="54" s="1"/>
  <c r="F38" i="35"/>
  <c r="R38" i="53" s="1"/>
  <c r="E38" i="35"/>
  <c r="R38" i="52" s="1"/>
  <c r="D38" i="35"/>
  <c r="R38" i="51" s="1"/>
  <c r="C38" i="35"/>
  <c r="R38" i="11" s="1"/>
  <c r="G37" i="35"/>
  <c r="R37" i="54" s="1"/>
  <c r="F37" i="35"/>
  <c r="R37" i="53" s="1"/>
  <c r="E37" i="35"/>
  <c r="R37" i="52" s="1"/>
  <c r="D37" i="35"/>
  <c r="R37" i="51" s="1"/>
  <c r="C37" i="35"/>
  <c r="R37" i="11" s="1"/>
  <c r="G36" i="35"/>
  <c r="R36" i="54" s="1"/>
  <c r="F36" i="35"/>
  <c r="R36" i="53" s="1"/>
  <c r="E36" i="35"/>
  <c r="R36" i="52" s="1"/>
  <c r="D36" i="35"/>
  <c r="R36" i="51" s="1"/>
  <c r="C36" i="35"/>
  <c r="R36" i="11" s="1"/>
  <c r="G35" i="35"/>
  <c r="R35" i="54" s="1"/>
  <c r="F35" i="35"/>
  <c r="R35" i="53" s="1"/>
  <c r="E35" i="35"/>
  <c r="R35" i="52" s="1"/>
  <c r="D35" i="35"/>
  <c r="R35" i="51" s="1"/>
  <c r="C35" i="35"/>
  <c r="R35" i="11" s="1"/>
  <c r="G34" i="35"/>
  <c r="R34" i="54" s="1"/>
  <c r="F34" i="35"/>
  <c r="R34" i="53" s="1"/>
  <c r="E34" i="35"/>
  <c r="R34" i="52" s="1"/>
  <c r="D34" i="35"/>
  <c r="R34" i="51" s="1"/>
  <c r="C34" i="35"/>
  <c r="R34" i="11" s="1"/>
  <c r="G33" i="35"/>
  <c r="R33" i="54" s="1"/>
  <c r="F33" i="35"/>
  <c r="R33" i="53" s="1"/>
  <c r="E33" i="35"/>
  <c r="R33" i="52" s="1"/>
  <c r="D33" i="35"/>
  <c r="R33" i="51" s="1"/>
  <c r="C33" i="35"/>
  <c r="R33" i="11" s="1"/>
  <c r="G32" i="35"/>
  <c r="R32" i="54" s="1"/>
  <c r="F32" i="35"/>
  <c r="R32" i="53" s="1"/>
  <c r="E32" i="35"/>
  <c r="R32" i="52" s="1"/>
  <c r="D32" i="35"/>
  <c r="R32" i="51" s="1"/>
  <c r="C32" i="35"/>
  <c r="R32" i="11" s="1"/>
  <c r="G31" i="35"/>
  <c r="R31" i="54" s="1"/>
  <c r="F31" i="35"/>
  <c r="R31" i="53" s="1"/>
  <c r="E31" i="35"/>
  <c r="R31" i="52" s="1"/>
  <c r="D31" i="35"/>
  <c r="R31" i="51" s="1"/>
  <c r="C31" i="35"/>
  <c r="R31" i="11" s="1"/>
  <c r="G30" i="35"/>
  <c r="R30" i="54" s="1"/>
  <c r="F30" i="35"/>
  <c r="R30" i="53" s="1"/>
  <c r="E30" i="35"/>
  <c r="R30" i="52" s="1"/>
  <c r="D30" i="35"/>
  <c r="R30" i="51" s="1"/>
  <c r="C30" i="35"/>
  <c r="R30" i="11" s="1"/>
  <c r="G29" i="35"/>
  <c r="R29" i="54" s="1"/>
  <c r="F29" i="35"/>
  <c r="R29" i="53" s="1"/>
  <c r="E29" i="35"/>
  <c r="R29" i="52" s="1"/>
  <c r="D29" i="35"/>
  <c r="R29" i="51" s="1"/>
  <c r="C29" i="35"/>
  <c r="R29" i="11" s="1"/>
  <c r="G28" i="35"/>
  <c r="R28" i="54" s="1"/>
  <c r="F28" i="35"/>
  <c r="R28" i="53" s="1"/>
  <c r="E28" i="35"/>
  <c r="R28" i="52" s="1"/>
  <c r="D28" i="35"/>
  <c r="R28" i="51" s="1"/>
  <c r="C28" i="35"/>
  <c r="R28" i="11" s="1"/>
  <c r="G27" i="35"/>
  <c r="R27" i="54" s="1"/>
  <c r="F27" i="35"/>
  <c r="R27" i="53" s="1"/>
  <c r="E27" i="35"/>
  <c r="R27" i="52" s="1"/>
  <c r="D27" i="35"/>
  <c r="R27" i="51" s="1"/>
  <c r="C27" i="35"/>
  <c r="R27" i="11" s="1"/>
  <c r="G26" i="35"/>
  <c r="R26" i="54" s="1"/>
  <c r="F26" i="35"/>
  <c r="R26" i="53" s="1"/>
  <c r="E26" i="35"/>
  <c r="R26" i="52" s="1"/>
  <c r="D26" i="35"/>
  <c r="R26" i="51" s="1"/>
  <c r="C26" i="35"/>
  <c r="R26" i="11" s="1"/>
  <c r="G25" i="35"/>
  <c r="R25" i="54" s="1"/>
  <c r="F25" i="35"/>
  <c r="R25" i="53" s="1"/>
  <c r="E25" i="35"/>
  <c r="R25" i="52" s="1"/>
  <c r="D25" i="35"/>
  <c r="R25" i="51" s="1"/>
  <c r="C25" i="35"/>
  <c r="R25" i="11" s="1"/>
  <c r="G24" i="35"/>
  <c r="R24" i="54" s="1"/>
  <c r="F24" i="35"/>
  <c r="R24" i="53" s="1"/>
  <c r="E24" i="35"/>
  <c r="R24" i="52" s="1"/>
  <c r="D24" i="35"/>
  <c r="R24" i="51" s="1"/>
  <c r="C24" i="35"/>
  <c r="R24" i="11" s="1"/>
  <c r="G23" i="35"/>
  <c r="R23" i="54" s="1"/>
  <c r="F23" i="35"/>
  <c r="R23" i="53" s="1"/>
  <c r="E23" i="35"/>
  <c r="R23" i="52" s="1"/>
  <c r="D23" i="35"/>
  <c r="R23" i="51" s="1"/>
  <c r="C23" i="35"/>
  <c r="R23" i="11" s="1"/>
  <c r="G22" i="35"/>
  <c r="R22" i="54" s="1"/>
  <c r="F22" i="35"/>
  <c r="R22" i="53" s="1"/>
  <c r="E22" i="35"/>
  <c r="R22" i="52" s="1"/>
  <c r="D22" i="35"/>
  <c r="R22" i="51" s="1"/>
  <c r="C22" i="35"/>
  <c r="R22" i="11" s="1"/>
  <c r="G21" i="35"/>
  <c r="R21" i="54" s="1"/>
  <c r="F21" i="35"/>
  <c r="R21" i="53" s="1"/>
  <c r="E21" i="35"/>
  <c r="R21" i="52" s="1"/>
  <c r="D21" i="35"/>
  <c r="R21" i="51" s="1"/>
  <c r="C21" i="35"/>
  <c r="R21" i="11" s="1"/>
  <c r="G20" i="35"/>
  <c r="R20" i="54" s="1"/>
  <c r="F20" i="35"/>
  <c r="R20" i="53" s="1"/>
  <c r="E20" i="35"/>
  <c r="R20" i="52" s="1"/>
  <c r="D20" i="35"/>
  <c r="R20" i="51" s="1"/>
  <c r="C20" i="35"/>
  <c r="R20" i="11" s="1"/>
  <c r="G19" i="35"/>
  <c r="R19" i="54" s="1"/>
  <c r="F19" i="35"/>
  <c r="R19" i="53" s="1"/>
  <c r="E19" i="35"/>
  <c r="R19" i="52" s="1"/>
  <c r="D19" i="35"/>
  <c r="R19" i="51" s="1"/>
  <c r="C19" i="35"/>
  <c r="R19" i="11" s="1"/>
  <c r="G18" i="35"/>
  <c r="R18" i="54" s="1"/>
  <c r="F18" i="35"/>
  <c r="R18" i="53" s="1"/>
  <c r="E18" i="35"/>
  <c r="R18" i="52" s="1"/>
  <c r="D18" i="35"/>
  <c r="R18" i="51" s="1"/>
  <c r="C18" i="35"/>
  <c r="R18" i="11" s="1"/>
  <c r="G17" i="35"/>
  <c r="R17" i="54" s="1"/>
  <c r="F17" i="35"/>
  <c r="R17" i="53" s="1"/>
  <c r="E17" i="35"/>
  <c r="R17" i="52" s="1"/>
  <c r="D17" i="35"/>
  <c r="R17" i="51" s="1"/>
  <c r="C17" i="35"/>
  <c r="R17" i="11" s="1"/>
  <c r="G16" i="35"/>
  <c r="R16" i="54" s="1"/>
  <c r="F16" i="35"/>
  <c r="R16" i="53" s="1"/>
  <c r="E16" i="35"/>
  <c r="R16" i="52" s="1"/>
  <c r="D16" i="35"/>
  <c r="R16" i="51" s="1"/>
  <c r="C16" i="35"/>
  <c r="R16" i="11" s="1"/>
  <c r="G15" i="35"/>
  <c r="R15" i="54" s="1"/>
  <c r="F15" i="35"/>
  <c r="R15" i="53" s="1"/>
  <c r="E15" i="35"/>
  <c r="R15" i="52" s="1"/>
  <c r="D15" i="35"/>
  <c r="R15" i="51" s="1"/>
  <c r="C15" i="35"/>
  <c r="R15" i="11" s="1"/>
  <c r="G14" i="35"/>
  <c r="R14" i="54" s="1"/>
  <c r="F14" i="35"/>
  <c r="R14" i="53" s="1"/>
  <c r="E14" i="35"/>
  <c r="R14" i="52" s="1"/>
  <c r="D14" i="35"/>
  <c r="R14" i="51" s="1"/>
  <c r="C14" i="35"/>
  <c r="R14" i="11" s="1"/>
  <c r="G13" i="35"/>
  <c r="R13" i="54" s="1"/>
  <c r="F13" i="35"/>
  <c r="R13" i="53" s="1"/>
  <c r="E13" i="35"/>
  <c r="R13" i="52" s="1"/>
  <c r="D13" i="35"/>
  <c r="R13" i="51" s="1"/>
  <c r="C13" i="35"/>
  <c r="R13" i="11" s="1"/>
  <c r="G12" i="35"/>
  <c r="R12" i="54" s="1"/>
  <c r="F12" i="35"/>
  <c r="R12" i="53" s="1"/>
  <c r="E12" i="35"/>
  <c r="R12" i="52" s="1"/>
  <c r="D12" i="35"/>
  <c r="R12" i="51" s="1"/>
  <c r="C12" i="35"/>
  <c r="R12" i="11" s="1"/>
  <c r="G11" i="35"/>
  <c r="R11" i="54" s="1"/>
  <c r="F11" i="35"/>
  <c r="R11" i="53" s="1"/>
  <c r="E11" i="35"/>
  <c r="R11" i="52" s="1"/>
  <c r="D11" i="35"/>
  <c r="R11" i="51" s="1"/>
  <c r="C11" i="35"/>
  <c r="R11" i="11" s="1"/>
  <c r="G10" i="35"/>
  <c r="R10" i="54" s="1"/>
  <c r="F10" i="35"/>
  <c r="R10" i="53" s="1"/>
  <c r="E10" i="35"/>
  <c r="R10" i="52" s="1"/>
  <c r="D10" i="35"/>
  <c r="R10" i="51" s="1"/>
  <c r="C10" i="35"/>
  <c r="R10" i="11" s="1"/>
  <c r="G9" i="35"/>
  <c r="R9" i="54" s="1"/>
  <c r="F9" i="35"/>
  <c r="R9" i="53" s="1"/>
  <c r="E9" i="35"/>
  <c r="R9" i="52" s="1"/>
  <c r="D9" i="35"/>
  <c r="R9" i="51" s="1"/>
  <c r="C9" i="35"/>
  <c r="R9" i="11" s="1"/>
  <c r="G58" i="34"/>
  <c r="S58" i="54" s="1"/>
  <c r="F58" i="34"/>
  <c r="S58" i="53" s="1"/>
  <c r="E58" i="34"/>
  <c r="S58" i="52" s="1"/>
  <c r="D58" i="34"/>
  <c r="S58" i="51" s="1"/>
  <c r="C58" i="34"/>
  <c r="S58" i="11" s="1"/>
  <c r="G57" i="34"/>
  <c r="S57" i="54" s="1"/>
  <c r="F57" i="34"/>
  <c r="S57" i="53" s="1"/>
  <c r="E57" i="34"/>
  <c r="S57" i="52" s="1"/>
  <c r="D57" i="34"/>
  <c r="S57" i="51" s="1"/>
  <c r="C57" i="34"/>
  <c r="S57" i="11" s="1"/>
  <c r="G56" i="34"/>
  <c r="S56" i="54" s="1"/>
  <c r="F56" i="34"/>
  <c r="S56" i="53" s="1"/>
  <c r="E56" i="34"/>
  <c r="S56" i="52" s="1"/>
  <c r="D56" i="34"/>
  <c r="S56" i="51" s="1"/>
  <c r="C56" i="34"/>
  <c r="S56" i="11" s="1"/>
  <c r="G55" i="34"/>
  <c r="S55" i="54" s="1"/>
  <c r="F55" i="34"/>
  <c r="S55" i="53" s="1"/>
  <c r="E55" i="34"/>
  <c r="S55" i="52" s="1"/>
  <c r="D55" i="34"/>
  <c r="S55" i="51" s="1"/>
  <c r="C55" i="34"/>
  <c r="S55" i="11" s="1"/>
  <c r="G54" i="34"/>
  <c r="S54" i="54" s="1"/>
  <c r="F54" i="34"/>
  <c r="S54" i="53" s="1"/>
  <c r="E54" i="34"/>
  <c r="S54" i="52" s="1"/>
  <c r="D54" i="34"/>
  <c r="S54" i="51" s="1"/>
  <c r="C54" i="34"/>
  <c r="S54" i="11" s="1"/>
  <c r="G53" i="34"/>
  <c r="S53" i="54" s="1"/>
  <c r="F53" i="34"/>
  <c r="S53" i="53" s="1"/>
  <c r="E53" i="34"/>
  <c r="S53" i="52" s="1"/>
  <c r="D53" i="34"/>
  <c r="S53" i="51" s="1"/>
  <c r="C53" i="34"/>
  <c r="S53" i="11" s="1"/>
  <c r="G52" i="34"/>
  <c r="S52" i="54" s="1"/>
  <c r="F52" i="34"/>
  <c r="S52" i="53" s="1"/>
  <c r="E52" i="34"/>
  <c r="S52" i="52" s="1"/>
  <c r="D52" i="34"/>
  <c r="S52" i="51" s="1"/>
  <c r="C52" i="34"/>
  <c r="S52" i="11" s="1"/>
  <c r="G51" i="34"/>
  <c r="S51" i="54" s="1"/>
  <c r="F51" i="34"/>
  <c r="S51" i="53" s="1"/>
  <c r="E51" i="34"/>
  <c r="S51" i="52" s="1"/>
  <c r="D51" i="34"/>
  <c r="S51" i="51" s="1"/>
  <c r="C51" i="34"/>
  <c r="S51" i="11" s="1"/>
  <c r="G50" i="34"/>
  <c r="S50" i="54" s="1"/>
  <c r="F50" i="34"/>
  <c r="S50" i="53" s="1"/>
  <c r="E50" i="34"/>
  <c r="S50" i="52" s="1"/>
  <c r="D50" i="34"/>
  <c r="S50" i="51" s="1"/>
  <c r="C50" i="34"/>
  <c r="S50" i="11" s="1"/>
  <c r="G49" i="34"/>
  <c r="S49" i="54" s="1"/>
  <c r="F49" i="34"/>
  <c r="S49" i="53" s="1"/>
  <c r="E49" i="34"/>
  <c r="S49" i="52" s="1"/>
  <c r="D49" i="34"/>
  <c r="S49" i="51" s="1"/>
  <c r="C49" i="34"/>
  <c r="S49" i="11" s="1"/>
  <c r="G48" i="34"/>
  <c r="S48" i="54" s="1"/>
  <c r="F48" i="34"/>
  <c r="S48" i="53" s="1"/>
  <c r="E48" i="34"/>
  <c r="S48" i="52" s="1"/>
  <c r="D48" i="34"/>
  <c r="S48" i="51" s="1"/>
  <c r="C48" i="34"/>
  <c r="S48" i="11" s="1"/>
  <c r="G47" i="34"/>
  <c r="S47" i="54" s="1"/>
  <c r="F47" i="34"/>
  <c r="S47" i="53" s="1"/>
  <c r="E47" i="34"/>
  <c r="S47" i="52" s="1"/>
  <c r="D47" i="34"/>
  <c r="S47" i="51" s="1"/>
  <c r="C47" i="34"/>
  <c r="S47" i="11" s="1"/>
  <c r="G46" i="34"/>
  <c r="S46" i="54" s="1"/>
  <c r="F46" i="34"/>
  <c r="S46" i="53" s="1"/>
  <c r="E46" i="34"/>
  <c r="S46" i="52" s="1"/>
  <c r="D46" i="34"/>
  <c r="S46" i="51" s="1"/>
  <c r="C46" i="34"/>
  <c r="S46" i="11" s="1"/>
  <c r="G45" i="34"/>
  <c r="S45" i="54" s="1"/>
  <c r="F45" i="34"/>
  <c r="S45" i="53" s="1"/>
  <c r="E45" i="34"/>
  <c r="S45" i="52" s="1"/>
  <c r="D45" i="34"/>
  <c r="S45" i="51" s="1"/>
  <c r="C45" i="34"/>
  <c r="S45" i="11" s="1"/>
  <c r="G44" i="34"/>
  <c r="S44" i="54" s="1"/>
  <c r="F44" i="34"/>
  <c r="S44" i="53" s="1"/>
  <c r="E44" i="34"/>
  <c r="S44" i="52" s="1"/>
  <c r="D44" i="34"/>
  <c r="S44" i="51" s="1"/>
  <c r="C44" i="34"/>
  <c r="S44" i="11" s="1"/>
  <c r="G43" i="34"/>
  <c r="S43" i="54" s="1"/>
  <c r="F43" i="34"/>
  <c r="S43" i="53" s="1"/>
  <c r="E43" i="34"/>
  <c r="S43" i="52" s="1"/>
  <c r="D43" i="34"/>
  <c r="S43" i="51" s="1"/>
  <c r="C43" i="34"/>
  <c r="S43" i="11" s="1"/>
  <c r="G42" i="34"/>
  <c r="S42" i="54" s="1"/>
  <c r="F42" i="34"/>
  <c r="S42" i="53" s="1"/>
  <c r="E42" i="34"/>
  <c r="S42" i="52" s="1"/>
  <c r="D42" i="34"/>
  <c r="S42" i="51" s="1"/>
  <c r="C42" i="34"/>
  <c r="S42" i="11" s="1"/>
  <c r="G41" i="34"/>
  <c r="S41" i="54" s="1"/>
  <c r="F41" i="34"/>
  <c r="S41" i="53" s="1"/>
  <c r="E41" i="34"/>
  <c r="S41" i="52" s="1"/>
  <c r="D41" i="34"/>
  <c r="S41" i="51" s="1"/>
  <c r="C41" i="34"/>
  <c r="S41" i="11" s="1"/>
  <c r="G40" i="34"/>
  <c r="S40" i="54" s="1"/>
  <c r="F40" i="34"/>
  <c r="S40" i="53" s="1"/>
  <c r="E40" i="34"/>
  <c r="S40" i="52" s="1"/>
  <c r="D40" i="34"/>
  <c r="S40" i="51" s="1"/>
  <c r="C40" i="34"/>
  <c r="S40" i="11" s="1"/>
  <c r="G39" i="34"/>
  <c r="S39" i="54" s="1"/>
  <c r="F39" i="34"/>
  <c r="S39" i="53" s="1"/>
  <c r="E39" i="34"/>
  <c r="S39" i="52" s="1"/>
  <c r="D39" i="34"/>
  <c r="S39" i="51" s="1"/>
  <c r="C39" i="34"/>
  <c r="S39" i="11" s="1"/>
  <c r="G38" i="34"/>
  <c r="S38" i="54" s="1"/>
  <c r="F38" i="34"/>
  <c r="S38" i="53" s="1"/>
  <c r="E38" i="34"/>
  <c r="S38" i="52" s="1"/>
  <c r="D38" i="34"/>
  <c r="S38" i="51" s="1"/>
  <c r="C38" i="34"/>
  <c r="S38" i="11" s="1"/>
  <c r="G37" i="34"/>
  <c r="S37" i="54" s="1"/>
  <c r="F37" i="34"/>
  <c r="S37" i="53" s="1"/>
  <c r="E37" i="34"/>
  <c r="S37" i="52" s="1"/>
  <c r="D37" i="34"/>
  <c r="S37" i="51" s="1"/>
  <c r="C37" i="34"/>
  <c r="S37" i="11" s="1"/>
  <c r="G36" i="34"/>
  <c r="S36" i="54" s="1"/>
  <c r="F36" i="34"/>
  <c r="S36" i="53" s="1"/>
  <c r="E36" i="34"/>
  <c r="S36" i="52" s="1"/>
  <c r="D36" i="34"/>
  <c r="S36" i="51" s="1"/>
  <c r="C36" i="34"/>
  <c r="S36" i="11" s="1"/>
  <c r="G35" i="34"/>
  <c r="S35" i="54" s="1"/>
  <c r="F35" i="34"/>
  <c r="S35" i="53" s="1"/>
  <c r="E35" i="34"/>
  <c r="S35" i="52" s="1"/>
  <c r="D35" i="34"/>
  <c r="S35" i="51" s="1"/>
  <c r="C35" i="34"/>
  <c r="S35" i="11" s="1"/>
  <c r="G34" i="34"/>
  <c r="S34" i="54" s="1"/>
  <c r="F34" i="34"/>
  <c r="S34" i="53" s="1"/>
  <c r="E34" i="34"/>
  <c r="S34" i="52" s="1"/>
  <c r="D34" i="34"/>
  <c r="S34" i="51" s="1"/>
  <c r="C34" i="34"/>
  <c r="S34" i="11" s="1"/>
  <c r="G33" i="34"/>
  <c r="S33" i="54" s="1"/>
  <c r="F33" i="34"/>
  <c r="S33" i="53" s="1"/>
  <c r="E33" i="34"/>
  <c r="S33" i="52" s="1"/>
  <c r="D33" i="34"/>
  <c r="S33" i="51" s="1"/>
  <c r="C33" i="34"/>
  <c r="S33" i="11" s="1"/>
  <c r="G32" i="34"/>
  <c r="S32" i="54" s="1"/>
  <c r="F32" i="34"/>
  <c r="S32" i="53" s="1"/>
  <c r="E32" i="34"/>
  <c r="S32" i="52" s="1"/>
  <c r="D32" i="34"/>
  <c r="S32" i="51" s="1"/>
  <c r="C32" i="34"/>
  <c r="S32" i="11" s="1"/>
  <c r="G31" i="34"/>
  <c r="S31" i="54" s="1"/>
  <c r="F31" i="34"/>
  <c r="S31" i="53" s="1"/>
  <c r="E31" i="34"/>
  <c r="S31" i="52" s="1"/>
  <c r="D31" i="34"/>
  <c r="S31" i="51" s="1"/>
  <c r="C31" i="34"/>
  <c r="S31" i="11" s="1"/>
  <c r="G30" i="34"/>
  <c r="S30" i="54" s="1"/>
  <c r="F30" i="34"/>
  <c r="S30" i="53" s="1"/>
  <c r="E30" i="34"/>
  <c r="S30" i="52" s="1"/>
  <c r="D30" i="34"/>
  <c r="S30" i="51" s="1"/>
  <c r="C30" i="34"/>
  <c r="S30" i="11" s="1"/>
  <c r="G29" i="34"/>
  <c r="S29" i="54" s="1"/>
  <c r="F29" i="34"/>
  <c r="S29" i="53" s="1"/>
  <c r="E29" i="34"/>
  <c r="S29" i="52" s="1"/>
  <c r="D29" i="34"/>
  <c r="S29" i="51" s="1"/>
  <c r="C29" i="34"/>
  <c r="S29" i="11" s="1"/>
  <c r="G28" i="34"/>
  <c r="S28" i="54" s="1"/>
  <c r="F28" i="34"/>
  <c r="S28" i="53" s="1"/>
  <c r="E28" i="34"/>
  <c r="S28" i="52" s="1"/>
  <c r="D28" i="34"/>
  <c r="S28" i="51" s="1"/>
  <c r="C28" i="34"/>
  <c r="S28" i="11" s="1"/>
  <c r="G27" i="34"/>
  <c r="S27" i="54" s="1"/>
  <c r="F27" i="34"/>
  <c r="S27" i="53" s="1"/>
  <c r="E27" i="34"/>
  <c r="S27" i="52" s="1"/>
  <c r="D27" i="34"/>
  <c r="S27" i="51" s="1"/>
  <c r="C27" i="34"/>
  <c r="S27" i="11" s="1"/>
  <c r="G26" i="34"/>
  <c r="S26" i="54" s="1"/>
  <c r="F26" i="34"/>
  <c r="S26" i="53" s="1"/>
  <c r="E26" i="34"/>
  <c r="S26" i="52" s="1"/>
  <c r="D26" i="34"/>
  <c r="S26" i="51" s="1"/>
  <c r="C26" i="34"/>
  <c r="S26" i="11" s="1"/>
  <c r="G25" i="34"/>
  <c r="S25" i="54" s="1"/>
  <c r="F25" i="34"/>
  <c r="S25" i="53" s="1"/>
  <c r="E25" i="34"/>
  <c r="S25" i="52" s="1"/>
  <c r="D25" i="34"/>
  <c r="S25" i="51" s="1"/>
  <c r="C25" i="34"/>
  <c r="S25" i="11" s="1"/>
  <c r="G24" i="34"/>
  <c r="S24" i="54" s="1"/>
  <c r="F24" i="34"/>
  <c r="S24" i="53" s="1"/>
  <c r="E24" i="34"/>
  <c r="S24" i="52" s="1"/>
  <c r="D24" i="34"/>
  <c r="S24" i="51" s="1"/>
  <c r="C24" i="34"/>
  <c r="S24" i="11" s="1"/>
  <c r="G23" i="34"/>
  <c r="S23" i="54" s="1"/>
  <c r="F23" i="34"/>
  <c r="S23" i="53" s="1"/>
  <c r="E23" i="34"/>
  <c r="S23" i="52" s="1"/>
  <c r="D23" i="34"/>
  <c r="S23" i="51" s="1"/>
  <c r="C23" i="34"/>
  <c r="S23" i="11" s="1"/>
  <c r="G22" i="34"/>
  <c r="S22" i="54" s="1"/>
  <c r="F22" i="34"/>
  <c r="S22" i="53" s="1"/>
  <c r="E22" i="34"/>
  <c r="S22" i="52" s="1"/>
  <c r="D22" i="34"/>
  <c r="S22" i="51" s="1"/>
  <c r="C22" i="34"/>
  <c r="S22" i="11" s="1"/>
  <c r="G21" i="34"/>
  <c r="S21" i="54" s="1"/>
  <c r="F21" i="34"/>
  <c r="S21" i="53" s="1"/>
  <c r="E21" i="34"/>
  <c r="S21" i="52" s="1"/>
  <c r="D21" i="34"/>
  <c r="S21" i="51" s="1"/>
  <c r="C21" i="34"/>
  <c r="S21" i="11" s="1"/>
  <c r="G20" i="34"/>
  <c r="S20" i="54" s="1"/>
  <c r="F20" i="34"/>
  <c r="S20" i="53" s="1"/>
  <c r="E20" i="34"/>
  <c r="S20" i="52" s="1"/>
  <c r="D20" i="34"/>
  <c r="S20" i="51" s="1"/>
  <c r="C20" i="34"/>
  <c r="S20" i="11" s="1"/>
  <c r="G19" i="34"/>
  <c r="S19" i="54" s="1"/>
  <c r="F19" i="34"/>
  <c r="S19" i="53" s="1"/>
  <c r="E19" i="34"/>
  <c r="S19" i="52" s="1"/>
  <c r="D19" i="34"/>
  <c r="S19" i="51" s="1"/>
  <c r="C19" i="34"/>
  <c r="S19" i="11" s="1"/>
  <c r="G18" i="34"/>
  <c r="S18" i="54" s="1"/>
  <c r="F18" i="34"/>
  <c r="S18" i="53" s="1"/>
  <c r="E18" i="34"/>
  <c r="S18" i="52" s="1"/>
  <c r="D18" i="34"/>
  <c r="S18" i="51" s="1"/>
  <c r="C18" i="34"/>
  <c r="S18" i="11" s="1"/>
  <c r="G17" i="34"/>
  <c r="S17" i="54" s="1"/>
  <c r="F17" i="34"/>
  <c r="S17" i="53" s="1"/>
  <c r="E17" i="34"/>
  <c r="S17" i="52" s="1"/>
  <c r="D17" i="34"/>
  <c r="S17" i="51" s="1"/>
  <c r="C17" i="34"/>
  <c r="S17" i="11" s="1"/>
  <c r="G16" i="34"/>
  <c r="S16" i="54" s="1"/>
  <c r="F16" i="34"/>
  <c r="S16" i="53" s="1"/>
  <c r="E16" i="34"/>
  <c r="S16" i="52" s="1"/>
  <c r="D16" i="34"/>
  <c r="S16" i="51" s="1"/>
  <c r="C16" i="34"/>
  <c r="S16" i="11" s="1"/>
  <c r="G15" i="34"/>
  <c r="S15" i="54" s="1"/>
  <c r="F15" i="34"/>
  <c r="S15" i="53" s="1"/>
  <c r="E15" i="34"/>
  <c r="S15" i="52" s="1"/>
  <c r="D15" i="34"/>
  <c r="S15" i="51" s="1"/>
  <c r="C15" i="34"/>
  <c r="S15" i="11" s="1"/>
  <c r="G14" i="34"/>
  <c r="S14" i="54" s="1"/>
  <c r="F14" i="34"/>
  <c r="S14" i="53" s="1"/>
  <c r="E14" i="34"/>
  <c r="S14" i="52" s="1"/>
  <c r="D14" i="34"/>
  <c r="S14" i="51" s="1"/>
  <c r="C14" i="34"/>
  <c r="S14" i="11" s="1"/>
  <c r="G13" i="34"/>
  <c r="S13" i="54" s="1"/>
  <c r="F13" i="34"/>
  <c r="S13" i="53" s="1"/>
  <c r="E13" i="34"/>
  <c r="S13" i="52" s="1"/>
  <c r="D13" i="34"/>
  <c r="S13" i="51" s="1"/>
  <c r="C13" i="34"/>
  <c r="S13" i="11" s="1"/>
  <c r="G12" i="34"/>
  <c r="S12" i="54" s="1"/>
  <c r="F12" i="34"/>
  <c r="S12" i="53" s="1"/>
  <c r="E12" i="34"/>
  <c r="S12" i="52" s="1"/>
  <c r="D12" i="34"/>
  <c r="S12" i="51" s="1"/>
  <c r="C12" i="34"/>
  <c r="S12" i="11" s="1"/>
  <c r="G11" i="34"/>
  <c r="S11" i="54" s="1"/>
  <c r="F11" i="34"/>
  <c r="S11" i="53" s="1"/>
  <c r="E11" i="34"/>
  <c r="S11" i="52" s="1"/>
  <c r="D11" i="34"/>
  <c r="S11" i="51" s="1"/>
  <c r="C11" i="34"/>
  <c r="S11" i="11" s="1"/>
  <c r="G10" i="34"/>
  <c r="S10" i="54" s="1"/>
  <c r="F10" i="34"/>
  <c r="S10" i="53" s="1"/>
  <c r="E10" i="34"/>
  <c r="S10" i="52" s="1"/>
  <c r="D10" i="34"/>
  <c r="S10" i="51" s="1"/>
  <c r="C10" i="34"/>
  <c r="S10" i="11" s="1"/>
  <c r="G9" i="34"/>
  <c r="S9" i="54" s="1"/>
  <c r="F9" i="34"/>
  <c r="S9" i="53" s="1"/>
  <c r="E9" i="34"/>
  <c r="S9" i="52" s="1"/>
  <c r="D9" i="34"/>
  <c r="S9" i="51" s="1"/>
  <c r="C9" i="34"/>
  <c r="S9" i="11" s="1"/>
  <c r="G58" i="33"/>
  <c r="T58" i="54" s="1"/>
  <c r="F58" i="33"/>
  <c r="T58" i="53" s="1"/>
  <c r="E58" i="33"/>
  <c r="T58" i="52" s="1"/>
  <c r="D58" i="33"/>
  <c r="T58" i="51" s="1"/>
  <c r="C58" i="33"/>
  <c r="T58" i="11" s="1"/>
  <c r="G57" i="33"/>
  <c r="T57" i="54" s="1"/>
  <c r="F57" i="33"/>
  <c r="T57" i="53" s="1"/>
  <c r="E57" i="33"/>
  <c r="T57" i="52" s="1"/>
  <c r="D57" i="33"/>
  <c r="T57" i="51" s="1"/>
  <c r="C57" i="33"/>
  <c r="T57" i="11" s="1"/>
  <c r="G56" i="33"/>
  <c r="T56" i="54" s="1"/>
  <c r="F56" i="33"/>
  <c r="T56" i="53" s="1"/>
  <c r="E56" i="33"/>
  <c r="T56" i="52" s="1"/>
  <c r="D56" i="33"/>
  <c r="T56" i="51" s="1"/>
  <c r="C56" i="33"/>
  <c r="T56" i="11" s="1"/>
  <c r="G55" i="33"/>
  <c r="T55" i="54" s="1"/>
  <c r="F55" i="33"/>
  <c r="T55" i="53" s="1"/>
  <c r="E55" i="33"/>
  <c r="T55" i="52" s="1"/>
  <c r="D55" i="33"/>
  <c r="T55" i="51" s="1"/>
  <c r="C55" i="33"/>
  <c r="T55" i="11" s="1"/>
  <c r="G54" i="33"/>
  <c r="T54" i="54" s="1"/>
  <c r="F54" i="33"/>
  <c r="T54" i="53" s="1"/>
  <c r="E54" i="33"/>
  <c r="T54" i="52" s="1"/>
  <c r="D54" i="33"/>
  <c r="T54" i="51" s="1"/>
  <c r="C54" i="33"/>
  <c r="T54" i="11" s="1"/>
  <c r="G53" i="33"/>
  <c r="T53" i="54" s="1"/>
  <c r="F53" i="33"/>
  <c r="T53" i="53" s="1"/>
  <c r="E53" i="33"/>
  <c r="T53" i="52" s="1"/>
  <c r="D53" i="33"/>
  <c r="T53" i="51" s="1"/>
  <c r="C53" i="33"/>
  <c r="T53" i="11" s="1"/>
  <c r="G52" i="33"/>
  <c r="T52" i="54" s="1"/>
  <c r="F52" i="33"/>
  <c r="T52" i="53" s="1"/>
  <c r="E52" i="33"/>
  <c r="T52" i="52" s="1"/>
  <c r="D52" i="33"/>
  <c r="T52" i="51" s="1"/>
  <c r="C52" i="33"/>
  <c r="T52" i="11" s="1"/>
  <c r="G51" i="33"/>
  <c r="T51" i="54" s="1"/>
  <c r="F51" i="33"/>
  <c r="T51" i="53" s="1"/>
  <c r="E51" i="33"/>
  <c r="T51" i="52" s="1"/>
  <c r="D51" i="33"/>
  <c r="T51" i="51" s="1"/>
  <c r="C51" i="33"/>
  <c r="T51" i="11" s="1"/>
  <c r="G50" i="33"/>
  <c r="T50" i="54" s="1"/>
  <c r="F50" i="33"/>
  <c r="T50" i="53" s="1"/>
  <c r="E50" i="33"/>
  <c r="T50" i="52" s="1"/>
  <c r="D50" i="33"/>
  <c r="T50" i="51" s="1"/>
  <c r="C50" i="33"/>
  <c r="T50" i="11" s="1"/>
  <c r="G49" i="33"/>
  <c r="T49" i="54" s="1"/>
  <c r="F49" i="33"/>
  <c r="T49" i="53" s="1"/>
  <c r="E49" i="33"/>
  <c r="T49" i="52" s="1"/>
  <c r="D49" i="33"/>
  <c r="T49" i="51" s="1"/>
  <c r="C49" i="33"/>
  <c r="T49" i="11" s="1"/>
  <c r="G48" i="33"/>
  <c r="T48" i="54" s="1"/>
  <c r="F48" i="33"/>
  <c r="T48" i="53" s="1"/>
  <c r="E48" i="33"/>
  <c r="T48" i="52" s="1"/>
  <c r="D48" i="33"/>
  <c r="T48" i="51" s="1"/>
  <c r="C48" i="33"/>
  <c r="T48" i="11" s="1"/>
  <c r="G47" i="33"/>
  <c r="T47" i="54" s="1"/>
  <c r="F47" i="33"/>
  <c r="T47" i="53" s="1"/>
  <c r="E47" i="33"/>
  <c r="T47" i="52" s="1"/>
  <c r="D47" i="33"/>
  <c r="T47" i="51" s="1"/>
  <c r="C47" i="33"/>
  <c r="T47" i="11" s="1"/>
  <c r="G46" i="33"/>
  <c r="T46" i="54" s="1"/>
  <c r="F46" i="33"/>
  <c r="T46" i="53" s="1"/>
  <c r="E46" i="33"/>
  <c r="T46" i="52" s="1"/>
  <c r="D46" i="33"/>
  <c r="T46" i="51" s="1"/>
  <c r="C46" i="33"/>
  <c r="T46" i="11" s="1"/>
  <c r="G45" i="33"/>
  <c r="T45" i="54" s="1"/>
  <c r="F45" i="33"/>
  <c r="T45" i="53" s="1"/>
  <c r="E45" i="33"/>
  <c r="T45" i="52" s="1"/>
  <c r="D45" i="33"/>
  <c r="T45" i="51" s="1"/>
  <c r="C45" i="33"/>
  <c r="T45" i="11" s="1"/>
  <c r="G44" i="33"/>
  <c r="T44" i="54" s="1"/>
  <c r="F44" i="33"/>
  <c r="T44" i="53" s="1"/>
  <c r="E44" i="33"/>
  <c r="T44" i="52" s="1"/>
  <c r="D44" i="33"/>
  <c r="T44" i="51" s="1"/>
  <c r="C44" i="33"/>
  <c r="T44" i="11" s="1"/>
  <c r="G43" i="33"/>
  <c r="T43" i="54" s="1"/>
  <c r="F43" i="33"/>
  <c r="T43" i="53" s="1"/>
  <c r="E43" i="33"/>
  <c r="T43" i="52" s="1"/>
  <c r="D43" i="33"/>
  <c r="T43" i="51" s="1"/>
  <c r="C43" i="33"/>
  <c r="T43" i="11" s="1"/>
  <c r="G42" i="33"/>
  <c r="T42" i="54" s="1"/>
  <c r="F42" i="33"/>
  <c r="T42" i="53" s="1"/>
  <c r="E42" i="33"/>
  <c r="T42" i="52" s="1"/>
  <c r="D42" i="33"/>
  <c r="T42" i="51" s="1"/>
  <c r="C42" i="33"/>
  <c r="T42" i="11" s="1"/>
  <c r="G41" i="33"/>
  <c r="T41" i="54" s="1"/>
  <c r="F41" i="33"/>
  <c r="T41" i="53" s="1"/>
  <c r="E41" i="33"/>
  <c r="T41" i="52" s="1"/>
  <c r="D41" i="33"/>
  <c r="T41" i="51" s="1"/>
  <c r="C41" i="33"/>
  <c r="T41" i="11" s="1"/>
  <c r="G40" i="33"/>
  <c r="T40" i="54" s="1"/>
  <c r="F40" i="33"/>
  <c r="T40" i="53" s="1"/>
  <c r="E40" i="33"/>
  <c r="T40" i="52" s="1"/>
  <c r="D40" i="33"/>
  <c r="T40" i="51" s="1"/>
  <c r="C40" i="33"/>
  <c r="T40" i="11" s="1"/>
  <c r="G39" i="33"/>
  <c r="T39" i="54" s="1"/>
  <c r="F39" i="33"/>
  <c r="T39" i="53" s="1"/>
  <c r="E39" i="33"/>
  <c r="T39" i="52" s="1"/>
  <c r="D39" i="33"/>
  <c r="T39" i="51" s="1"/>
  <c r="C39" i="33"/>
  <c r="T39" i="11" s="1"/>
  <c r="G38" i="33"/>
  <c r="T38" i="54" s="1"/>
  <c r="F38" i="33"/>
  <c r="T38" i="53" s="1"/>
  <c r="E38" i="33"/>
  <c r="T38" i="52" s="1"/>
  <c r="D38" i="33"/>
  <c r="T38" i="51" s="1"/>
  <c r="C38" i="33"/>
  <c r="T38" i="11" s="1"/>
  <c r="G37" i="33"/>
  <c r="T37" i="54" s="1"/>
  <c r="F37" i="33"/>
  <c r="T37" i="53" s="1"/>
  <c r="E37" i="33"/>
  <c r="T37" i="52" s="1"/>
  <c r="D37" i="33"/>
  <c r="T37" i="51" s="1"/>
  <c r="C37" i="33"/>
  <c r="T37" i="11" s="1"/>
  <c r="G36" i="33"/>
  <c r="T36" i="54" s="1"/>
  <c r="F36" i="33"/>
  <c r="T36" i="53" s="1"/>
  <c r="E36" i="33"/>
  <c r="T36" i="52" s="1"/>
  <c r="D36" i="33"/>
  <c r="T36" i="51" s="1"/>
  <c r="C36" i="33"/>
  <c r="T36" i="11" s="1"/>
  <c r="G35" i="33"/>
  <c r="T35" i="54" s="1"/>
  <c r="F35" i="33"/>
  <c r="T35" i="53" s="1"/>
  <c r="E35" i="33"/>
  <c r="T35" i="52" s="1"/>
  <c r="D35" i="33"/>
  <c r="T35" i="51" s="1"/>
  <c r="C35" i="33"/>
  <c r="T35" i="11" s="1"/>
  <c r="G34" i="33"/>
  <c r="T34" i="54" s="1"/>
  <c r="F34" i="33"/>
  <c r="T34" i="53" s="1"/>
  <c r="E34" i="33"/>
  <c r="T34" i="52" s="1"/>
  <c r="D34" i="33"/>
  <c r="T34" i="51" s="1"/>
  <c r="C34" i="33"/>
  <c r="T34" i="11" s="1"/>
  <c r="G33" i="33"/>
  <c r="T33" i="54" s="1"/>
  <c r="F33" i="33"/>
  <c r="T33" i="53" s="1"/>
  <c r="E33" i="33"/>
  <c r="T33" i="52" s="1"/>
  <c r="D33" i="33"/>
  <c r="T33" i="51" s="1"/>
  <c r="C33" i="33"/>
  <c r="T33" i="11" s="1"/>
  <c r="G32" i="33"/>
  <c r="T32" i="54" s="1"/>
  <c r="F32" i="33"/>
  <c r="T32" i="53" s="1"/>
  <c r="E32" i="33"/>
  <c r="T32" i="52" s="1"/>
  <c r="D32" i="33"/>
  <c r="T32" i="51" s="1"/>
  <c r="C32" i="33"/>
  <c r="T32" i="11" s="1"/>
  <c r="G31" i="33"/>
  <c r="T31" i="54" s="1"/>
  <c r="F31" i="33"/>
  <c r="T31" i="53" s="1"/>
  <c r="E31" i="33"/>
  <c r="T31" i="52" s="1"/>
  <c r="D31" i="33"/>
  <c r="T31" i="51" s="1"/>
  <c r="C31" i="33"/>
  <c r="T31" i="11" s="1"/>
  <c r="G30" i="33"/>
  <c r="T30" i="54" s="1"/>
  <c r="F30" i="33"/>
  <c r="T30" i="53" s="1"/>
  <c r="E30" i="33"/>
  <c r="T30" i="52" s="1"/>
  <c r="D30" i="33"/>
  <c r="T30" i="51" s="1"/>
  <c r="C30" i="33"/>
  <c r="T30" i="11" s="1"/>
  <c r="G29" i="33"/>
  <c r="T29" i="54" s="1"/>
  <c r="F29" i="33"/>
  <c r="T29" i="53" s="1"/>
  <c r="E29" i="33"/>
  <c r="T29" i="52" s="1"/>
  <c r="D29" i="33"/>
  <c r="T29" i="51" s="1"/>
  <c r="C29" i="33"/>
  <c r="T29" i="11" s="1"/>
  <c r="G28" i="33"/>
  <c r="T28" i="54" s="1"/>
  <c r="F28" i="33"/>
  <c r="T28" i="53" s="1"/>
  <c r="E28" i="33"/>
  <c r="T28" i="52" s="1"/>
  <c r="D28" i="33"/>
  <c r="T28" i="51" s="1"/>
  <c r="C28" i="33"/>
  <c r="T28" i="11" s="1"/>
  <c r="G27" i="33"/>
  <c r="T27" i="54" s="1"/>
  <c r="F27" i="33"/>
  <c r="T27" i="53" s="1"/>
  <c r="E27" i="33"/>
  <c r="T27" i="52" s="1"/>
  <c r="D27" i="33"/>
  <c r="T27" i="51" s="1"/>
  <c r="C27" i="33"/>
  <c r="T27" i="11" s="1"/>
  <c r="G26" i="33"/>
  <c r="T26" i="54" s="1"/>
  <c r="F26" i="33"/>
  <c r="T26" i="53" s="1"/>
  <c r="E26" i="33"/>
  <c r="T26" i="52" s="1"/>
  <c r="D26" i="33"/>
  <c r="T26" i="51" s="1"/>
  <c r="C26" i="33"/>
  <c r="T26" i="11" s="1"/>
  <c r="G25" i="33"/>
  <c r="T25" i="54" s="1"/>
  <c r="F25" i="33"/>
  <c r="T25" i="53" s="1"/>
  <c r="E25" i="33"/>
  <c r="T25" i="52" s="1"/>
  <c r="D25" i="33"/>
  <c r="T25" i="51" s="1"/>
  <c r="C25" i="33"/>
  <c r="T25" i="11" s="1"/>
  <c r="G24" i="33"/>
  <c r="T24" i="54" s="1"/>
  <c r="F24" i="33"/>
  <c r="T24" i="53" s="1"/>
  <c r="E24" i="33"/>
  <c r="T24" i="52" s="1"/>
  <c r="D24" i="33"/>
  <c r="T24" i="51" s="1"/>
  <c r="C24" i="33"/>
  <c r="T24" i="11" s="1"/>
  <c r="G23" i="33"/>
  <c r="T23" i="54" s="1"/>
  <c r="F23" i="33"/>
  <c r="T23" i="53" s="1"/>
  <c r="E23" i="33"/>
  <c r="T23" i="52" s="1"/>
  <c r="D23" i="33"/>
  <c r="T23" i="51" s="1"/>
  <c r="C23" i="33"/>
  <c r="T23" i="11" s="1"/>
  <c r="G22" i="33"/>
  <c r="T22" i="54" s="1"/>
  <c r="F22" i="33"/>
  <c r="T22" i="53" s="1"/>
  <c r="E22" i="33"/>
  <c r="T22" i="52" s="1"/>
  <c r="D22" i="33"/>
  <c r="T22" i="51" s="1"/>
  <c r="C22" i="33"/>
  <c r="T22" i="11" s="1"/>
  <c r="G21" i="33"/>
  <c r="T21" i="54" s="1"/>
  <c r="F21" i="33"/>
  <c r="T21" i="53" s="1"/>
  <c r="E21" i="33"/>
  <c r="T21" i="52" s="1"/>
  <c r="D21" i="33"/>
  <c r="T21" i="51" s="1"/>
  <c r="C21" i="33"/>
  <c r="T21" i="11" s="1"/>
  <c r="G20" i="33"/>
  <c r="T20" i="54" s="1"/>
  <c r="F20" i="33"/>
  <c r="T20" i="53" s="1"/>
  <c r="E20" i="33"/>
  <c r="T20" i="52" s="1"/>
  <c r="D20" i="33"/>
  <c r="T20" i="51" s="1"/>
  <c r="C20" i="33"/>
  <c r="T20" i="11" s="1"/>
  <c r="G19" i="33"/>
  <c r="T19" i="54" s="1"/>
  <c r="F19" i="33"/>
  <c r="T19" i="53" s="1"/>
  <c r="E19" i="33"/>
  <c r="T19" i="52" s="1"/>
  <c r="D19" i="33"/>
  <c r="T19" i="51" s="1"/>
  <c r="C19" i="33"/>
  <c r="T19" i="11" s="1"/>
  <c r="G18" i="33"/>
  <c r="T18" i="54" s="1"/>
  <c r="F18" i="33"/>
  <c r="T18" i="53" s="1"/>
  <c r="E18" i="33"/>
  <c r="T18" i="52" s="1"/>
  <c r="D18" i="33"/>
  <c r="T18" i="51" s="1"/>
  <c r="C18" i="33"/>
  <c r="T18" i="11" s="1"/>
  <c r="G17" i="33"/>
  <c r="T17" i="54" s="1"/>
  <c r="F17" i="33"/>
  <c r="T17" i="53" s="1"/>
  <c r="E17" i="33"/>
  <c r="T17" i="52" s="1"/>
  <c r="D17" i="33"/>
  <c r="T17" i="51" s="1"/>
  <c r="C17" i="33"/>
  <c r="T17" i="11" s="1"/>
  <c r="G16" i="33"/>
  <c r="T16" i="54" s="1"/>
  <c r="F16" i="33"/>
  <c r="T16" i="53" s="1"/>
  <c r="E16" i="33"/>
  <c r="T16" i="52" s="1"/>
  <c r="D16" i="33"/>
  <c r="T16" i="51" s="1"/>
  <c r="C16" i="33"/>
  <c r="T16" i="11" s="1"/>
  <c r="G15" i="33"/>
  <c r="T15" i="54" s="1"/>
  <c r="F15" i="33"/>
  <c r="T15" i="53" s="1"/>
  <c r="E15" i="33"/>
  <c r="T15" i="52" s="1"/>
  <c r="D15" i="33"/>
  <c r="T15" i="51" s="1"/>
  <c r="C15" i="33"/>
  <c r="T15" i="11" s="1"/>
  <c r="G14" i="33"/>
  <c r="T14" i="54" s="1"/>
  <c r="F14" i="33"/>
  <c r="T14" i="53" s="1"/>
  <c r="E14" i="33"/>
  <c r="T14" i="52" s="1"/>
  <c r="D14" i="33"/>
  <c r="T14" i="51" s="1"/>
  <c r="C14" i="33"/>
  <c r="T14" i="11" s="1"/>
  <c r="G13" i="33"/>
  <c r="T13" i="54" s="1"/>
  <c r="F13" i="33"/>
  <c r="T13" i="53" s="1"/>
  <c r="E13" i="33"/>
  <c r="T13" i="52" s="1"/>
  <c r="D13" i="33"/>
  <c r="T13" i="51" s="1"/>
  <c r="C13" i="33"/>
  <c r="T13" i="11" s="1"/>
  <c r="G12" i="33"/>
  <c r="T12" i="54" s="1"/>
  <c r="F12" i="33"/>
  <c r="T12" i="53" s="1"/>
  <c r="E12" i="33"/>
  <c r="T12" i="52" s="1"/>
  <c r="D12" i="33"/>
  <c r="T12" i="51" s="1"/>
  <c r="C12" i="33"/>
  <c r="T12" i="11" s="1"/>
  <c r="G11" i="33"/>
  <c r="T11" i="54" s="1"/>
  <c r="F11" i="33"/>
  <c r="T11" i="53" s="1"/>
  <c r="E11" i="33"/>
  <c r="T11" i="52" s="1"/>
  <c r="D11" i="33"/>
  <c r="T11" i="51" s="1"/>
  <c r="C11" i="33"/>
  <c r="T11" i="11" s="1"/>
  <c r="G10" i="33"/>
  <c r="T10" i="54" s="1"/>
  <c r="F10" i="33"/>
  <c r="T10" i="53" s="1"/>
  <c r="E10" i="33"/>
  <c r="T10" i="52" s="1"/>
  <c r="D10" i="33"/>
  <c r="T10" i="51" s="1"/>
  <c r="C10" i="33"/>
  <c r="T10" i="11" s="1"/>
  <c r="G9" i="33"/>
  <c r="T9" i="54" s="1"/>
  <c r="F9" i="33"/>
  <c r="T9" i="53" s="1"/>
  <c r="E9" i="33"/>
  <c r="T9" i="52" s="1"/>
  <c r="D9" i="33"/>
  <c r="T9" i="51" s="1"/>
  <c r="C9" i="33"/>
  <c r="T9" i="11" s="1"/>
  <c r="G58" i="31"/>
  <c r="U58" i="54" s="1"/>
  <c r="G57" i="31"/>
  <c r="U57" i="54" s="1"/>
  <c r="G56" i="31"/>
  <c r="U56" i="54" s="1"/>
  <c r="G55" i="31"/>
  <c r="U55" i="54" s="1"/>
  <c r="G54" i="31"/>
  <c r="U54" i="54" s="1"/>
  <c r="G53" i="31"/>
  <c r="U53" i="54" s="1"/>
  <c r="G52" i="31"/>
  <c r="U52" i="54" s="1"/>
  <c r="G51" i="31"/>
  <c r="U51" i="54" s="1"/>
  <c r="G50" i="31"/>
  <c r="U50" i="54" s="1"/>
  <c r="G49" i="31"/>
  <c r="U49" i="54" s="1"/>
  <c r="G48" i="31"/>
  <c r="U48" i="54" s="1"/>
  <c r="G47" i="31"/>
  <c r="U47" i="54" s="1"/>
  <c r="G46" i="31"/>
  <c r="U46" i="54" s="1"/>
  <c r="G45" i="31"/>
  <c r="U45" i="54" s="1"/>
  <c r="G44" i="31"/>
  <c r="U44" i="54" s="1"/>
  <c r="G43" i="31"/>
  <c r="U43" i="54" s="1"/>
  <c r="G42" i="31"/>
  <c r="U42" i="54" s="1"/>
  <c r="G41" i="31"/>
  <c r="U41" i="54" s="1"/>
  <c r="G40" i="31"/>
  <c r="U40" i="54" s="1"/>
  <c r="G39" i="31"/>
  <c r="U39" i="54" s="1"/>
  <c r="G38" i="31"/>
  <c r="U38" i="54" s="1"/>
  <c r="G37" i="31"/>
  <c r="U37" i="54" s="1"/>
  <c r="G36" i="31"/>
  <c r="U36" i="54" s="1"/>
  <c r="G35" i="31"/>
  <c r="U35" i="54" s="1"/>
  <c r="G34" i="31"/>
  <c r="U34" i="54" s="1"/>
  <c r="G33" i="31"/>
  <c r="U33" i="54" s="1"/>
  <c r="G32" i="31"/>
  <c r="U32" i="54" s="1"/>
  <c r="G31" i="31"/>
  <c r="U31" i="54" s="1"/>
  <c r="G30" i="31"/>
  <c r="U30" i="54" s="1"/>
  <c r="G29" i="31"/>
  <c r="U29" i="54" s="1"/>
  <c r="G28" i="31"/>
  <c r="U28" i="54" s="1"/>
  <c r="G27" i="31"/>
  <c r="U27" i="54" s="1"/>
  <c r="G26" i="31"/>
  <c r="U26" i="54" s="1"/>
  <c r="G25" i="31"/>
  <c r="U25" i="54" s="1"/>
  <c r="G24" i="31"/>
  <c r="U24" i="54" s="1"/>
  <c r="G23" i="31"/>
  <c r="U23" i="54" s="1"/>
  <c r="G22" i="31"/>
  <c r="U22" i="54" s="1"/>
  <c r="G21" i="31"/>
  <c r="U21" i="54" s="1"/>
  <c r="G20" i="31"/>
  <c r="U20" i="54" s="1"/>
  <c r="G19" i="31"/>
  <c r="U19" i="54" s="1"/>
  <c r="G18" i="31"/>
  <c r="U18" i="54" s="1"/>
  <c r="G17" i="31"/>
  <c r="U17" i="54" s="1"/>
  <c r="G16" i="31"/>
  <c r="U16" i="54" s="1"/>
  <c r="G15" i="31"/>
  <c r="U15" i="54" s="1"/>
  <c r="G14" i="31"/>
  <c r="U14" i="54" s="1"/>
  <c r="G13" i="31"/>
  <c r="U13" i="54" s="1"/>
  <c r="G12" i="31"/>
  <c r="U12" i="54" s="1"/>
  <c r="G11" i="31"/>
  <c r="U11" i="54" s="1"/>
  <c r="G10" i="31"/>
  <c r="U10" i="54" s="1"/>
  <c r="G9" i="31"/>
  <c r="U9" i="54" s="1"/>
  <c r="F58" i="31"/>
  <c r="U58" i="53" s="1"/>
  <c r="F57" i="31"/>
  <c r="U57" i="53" s="1"/>
  <c r="F56" i="31"/>
  <c r="U56" i="53" s="1"/>
  <c r="F55" i="31"/>
  <c r="U55" i="53" s="1"/>
  <c r="F54" i="31"/>
  <c r="U54" i="53" s="1"/>
  <c r="F53" i="31"/>
  <c r="U53" i="53" s="1"/>
  <c r="F52" i="31"/>
  <c r="U52" i="53" s="1"/>
  <c r="F51" i="31"/>
  <c r="U51" i="53" s="1"/>
  <c r="F50" i="31"/>
  <c r="U50" i="53" s="1"/>
  <c r="F49" i="31"/>
  <c r="U49" i="53" s="1"/>
  <c r="F48" i="31"/>
  <c r="U48" i="53" s="1"/>
  <c r="F47" i="31"/>
  <c r="U47" i="53" s="1"/>
  <c r="F46" i="31"/>
  <c r="U46" i="53" s="1"/>
  <c r="F45" i="31"/>
  <c r="U45" i="53" s="1"/>
  <c r="F44" i="31"/>
  <c r="U44" i="53" s="1"/>
  <c r="F43" i="31"/>
  <c r="U43" i="53" s="1"/>
  <c r="F42" i="31"/>
  <c r="U42" i="53" s="1"/>
  <c r="F41" i="31"/>
  <c r="U41" i="53" s="1"/>
  <c r="F40" i="31"/>
  <c r="U40" i="53" s="1"/>
  <c r="F39" i="31"/>
  <c r="U39" i="53" s="1"/>
  <c r="F38" i="31"/>
  <c r="U38" i="53" s="1"/>
  <c r="F37" i="31"/>
  <c r="U37" i="53" s="1"/>
  <c r="F36" i="31"/>
  <c r="U36" i="53" s="1"/>
  <c r="F35" i="31"/>
  <c r="U35" i="53" s="1"/>
  <c r="F34" i="31"/>
  <c r="U34" i="53" s="1"/>
  <c r="F33" i="31"/>
  <c r="U33" i="53" s="1"/>
  <c r="F32" i="31"/>
  <c r="U32" i="53" s="1"/>
  <c r="F31" i="31"/>
  <c r="U31" i="53" s="1"/>
  <c r="F30" i="31"/>
  <c r="U30" i="53" s="1"/>
  <c r="F29" i="31"/>
  <c r="U29" i="53" s="1"/>
  <c r="F28" i="31"/>
  <c r="U28" i="53" s="1"/>
  <c r="F27" i="31"/>
  <c r="U27" i="53" s="1"/>
  <c r="F26" i="31"/>
  <c r="U26" i="53" s="1"/>
  <c r="F25" i="31"/>
  <c r="U25" i="53" s="1"/>
  <c r="F24" i="31"/>
  <c r="U24" i="53" s="1"/>
  <c r="F23" i="31"/>
  <c r="U23" i="53" s="1"/>
  <c r="F22" i="31"/>
  <c r="U22" i="53" s="1"/>
  <c r="F21" i="31"/>
  <c r="U21" i="53" s="1"/>
  <c r="F20" i="31"/>
  <c r="U20" i="53" s="1"/>
  <c r="F19" i="31"/>
  <c r="U19" i="53" s="1"/>
  <c r="F18" i="31"/>
  <c r="U18" i="53" s="1"/>
  <c r="F17" i="31"/>
  <c r="U17" i="53" s="1"/>
  <c r="F16" i="31"/>
  <c r="U16" i="53" s="1"/>
  <c r="F15" i="31"/>
  <c r="U15" i="53" s="1"/>
  <c r="F14" i="31"/>
  <c r="U14" i="53" s="1"/>
  <c r="F13" i="31"/>
  <c r="U13" i="53" s="1"/>
  <c r="F12" i="31"/>
  <c r="U12" i="53" s="1"/>
  <c r="F11" i="31"/>
  <c r="U11" i="53" s="1"/>
  <c r="F10" i="31"/>
  <c r="U10" i="53" s="1"/>
  <c r="F9" i="31"/>
  <c r="U9" i="53" s="1"/>
  <c r="E58" i="31"/>
  <c r="U58" i="52" s="1"/>
  <c r="E57" i="31"/>
  <c r="U57" i="52" s="1"/>
  <c r="E56" i="31"/>
  <c r="U56" i="52" s="1"/>
  <c r="E55" i="31"/>
  <c r="U55" i="52" s="1"/>
  <c r="E54" i="31"/>
  <c r="U54" i="52" s="1"/>
  <c r="E53" i="31"/>
  <c r="U53" i="52" s="1"/>
  <c r="E52" i="31"/>
  <c r="U52" i="52" s="1"/>
  <c r="E51" i="31"/>
  <c r="U51" i="52" s="1"/>
  <c r="E50" i="31"/>
  <c r="U50" i="52" s="1"/>
  <c r="E49" i="31"/>
  <c r="U49" i="52" s="1"/>
  <c r="E48" i="31"/>
  <c r="U48" i="52" s="1"/>
  <c r="E47" i="31"/>
  <c r="U47" i="52" s="1"/>
  <c r="E46" i="31"/>
  <c r="U46" i="52" s="1"/>
  <c r="E45" i="31"/>
  <c r="U45" i="52" s="1"/>
  <c r="E44" i="31"/>
  <c r="U44" i="52" s="1"/>
  <c r="E43" i="31"/>
  <c r="U43" i="52" s="1"/>
  <c r="E42" i="31"/>
  <c r="U42" i="52" s="1"/>
  <c r="E41" i="31"/>
  <c r="U41" i="52" s="1"/>
  <c r="E40" i="31"/>
  <c r="U40" i="52" s="1"/>
  <c r="E39" i="31"/>
  <c r="U39" i="52" s="1"/>
  <c r="E38" i="31"/>
  <c r="U38" i="52" s="1"/>
  <c r="E37" i="31"/>
  <c r="U37" i="52" s="1"/>
  <c r="E36" i="31"/>
  <c r="U36" i="52" s="1"/>
  <c r="E35" i="31"/>
  <c r="U35" i="52" s="1"/>
  <c r="E34" i="31"/>
  <c r="U34" i="52" s="1"/>
  <c r="E33" i="31"/>
  <c r="U33" i="52" s="1"/>
  <c r="E32" i="31"/>
  <c r="U32" i="52" s="1"/>
  <c r="E31" i="31"/>
  <c r="U31" i="52" s="1"/>
  <c r="E30" i="31"/>
  <c r="U30" i="52" s="1"/>
  <c r="E29" i="31"/>
  <c r="U29" i="52" s="1"/>
  <c r="E28" i="31"/>
  <c r="U28" i="52" s="1"/>
  <c r="E27" i="31"/>
  <c r="U27" i="52" s="1"/>
  <c r="E26" i="31"/>
  <c r="U26" i="52" s="1"/>
  <c r="E25" i="31"/>
  <c r="U25" i="52" s="1"/>
  <c r="E24" i="31"/>
  <c r="U24" i="52" s="1"/>
  <c r="E23" i="31"/>
  <c r="U23" i="52" s="1"/>
  <c r="E22" i="31"/>
  <c r="U22" i="52" s="1"/>
  <c r="E21" i="31"/>
  <c r="U21" i="52" s="1"/>
  <c r="E20" i="31"/>
  <c r="U20" i="52" s="1"/>
  <c r="E19" i="31"/>
  <c r="U19" i="52" s="1"/>
  <c r="E18" i="31"/>
  <c r="U18" i="52" s="1"/>
  <c r="E17" i="31"/>
  <c r="U17" i="52" s="1"/>
  <c r="E16" i="31"/>
  <c r="U16" i="52" s="1"/>
  <c r="E15" i="31"/>
  <c r="U15" i="52" s="1"/>
  <c r="E14" i="31"/>
  <c r="U14" i="52" s="1"/>
  <c r="E13" i="31"/>
  <c r="U13" i="52" s="1"/>
  <c r="E12" i="31"/>
  <c r="U12" i="52" s="1"/>
  <c r="E11" i="31"/>
  <c r="U11" i="52" s="1"/>
  <c r="E10" i="31"/>
  <c r="U10" i="52" s="1"/>
  <c r="E9" i="31"/>
  <c r="U9" i="52" s="1"/>
  <c r="D58" i="31"/>
  <c r="U58" i="51" s="1"/>
  <c r="D57" i="31"/>
  <c r="U57" i="51" s="1"/>
  <c r="D56" i="31"/>
  <c r="U56" i="51" s="1"/>
  <c r="D55" i="31"/>
  <c r="U55" i="51" s="1"/>
  <c r="D54" i="31"/>
  <c r="U54" i="51" s="1"/>
  <c r="D53" i="31"/>
  <c r="U53" i="51" s="1"/>
  <c r="D52" i="31"/>
  <c r="U52" i="51" s="1"/>
  <c r="D51" i="31"/>
  <c r="U51" i="51" s="1"/>
  <c r="D50" i="31"/>
  <c r="U50" i="51" s="1"/>
  <c r="D49" i="31"/>
  <c r="U49" i="51" s="1"/>
  <c r="D48" i="31"/>
  <c r="U48" i="51" s="1"/>
  <c r="D47" i="31"/>
  <c r="U47" i="51" s="1"/>
  <c r="D46" i="31"/>
  <c r="U46" i="51" s="1"/>
  <c r="D45" i="31"/>
  <c r="U45" i="51" s="1"/>
  <c r="D44" i="31"/>
  <c r="U44" i="51" s="1"/>
  <c r="D43" i="31"/>
  <c r="U43" i="51" s="1"/>
  <c r="D42" i="31"/>
  <c r="U42" i="51" s="1"/>
  <c r="D41" i="31"/>
  <c r="U41" i="51" s="1"/>
  <c r="D40" i="31"/>
  <c r="U40" i="51" s="1"/>
  <c r="D39" i="31"/>
  <c r="U39" i="51" s="1"/>
  <c r="D38" i="31"/>
  <c r="U38" i="51" s="1"/>
  <c r="D37" i="31"/>
  <c r="U37" i="51" s="1"/>
  <c r="D36" i="31"/>
  <c r="U36" i="51" s="1"/>
  <c r="D35" i="31"/>
  <c r="U35" i="51" s="1"/>
  <c r="D34" i="31"/>
  <c r="U34" i="51" s="1"/>
  <c r="D33" i="31"/>
  <c r="U33" i="51" s="1"/>
  <c r="D32" i="31"/>
  <c r="U32" i="51" s="1"/>
  <c r="D31" i="31"/>
  <c r="U31" i="51" s="1"/>
  <c r="D30" i="31"/>
  <c r="U30" i="51" s="1"/>
  <c r="D29" i="31"/>
  <c r="U29" i="51" s="1"/>
  <c r="D28" i="31"/>
  <c r="U28" i="51" s="1"/>
  <c r="D27" i="31"/>
  <c r="U27" i="51" s="1"/>
  <c r="D26" i="31"/>
  <c r="U26" i="51" s="1"/>
  <c r="D25" i="31"/>
  <c r="U25" i="51" s="1"/>
  <c r="D24" i="31"/>
  <c r="U24" i="51" s="1"/>
  <c r="D23" i="31"/>
  <c r="U23" i="51" s="1"/>
  <c r="D22" i="31"/>
  <c r="U22" i="51" s="1"/>
  <c r="D21" i="31"/>
  <c r="U21" i="51" s="1"/>
  <c r="D20" i="31"/>
  <c r="U20" i="51" s="1"/>
  <c r="D19" i="31"/>
  <c r="U19" i="51" s="1"/>
  <c r="D18" i="31"/>
  <c r="U18" i="51" s="1"/>
  <c r="D17" i="31"/>
  <c r="U17" i="51" s="1"/>
  <c r="D16" i="31"/>
  <c r="U16" i="51" s="1"/>
  <c r="D15" i="31"/>
  <c r="U15" i="51" s="1"/>
  <c r="D14" i="31"/>
  <c r="U14" i="51" s="1"/>
  <c r="D13" i="31"/>
  <c r="U13" i="51" s="1"/>
  <c r="D12" i="31"/>
  <c r="U12" i="51" s="1"/>
  <c r="D11" i="31"/>
  <c r="U11" i="51" s="1"/>
  <c r="D10" i="31"/>
  <c r="U10" i="51" s="1"/>
  <c r="D9" i="31"/>
  <c r="U9" i="51" s="1"/>
  <c r="C58" i="31"/>
  <c r="U58" i="11" s="1"/>
  <c r="C57" i="31"/>
  <c r="U57" i="11" s="1"/>
  <c r="C56" i="31"/>
  <c r="U56" i="11" s="1"/>
  <c r="C55" i="31"/>
  <c r="U55" i="11" s="1"/>
  <c r="C54" i="31"/>
  <c r="U54" i="11" s="1"/>
  <c r="C53" i="31"/>
  <c r="U53" i="11" s="1"/>
  <c r="C52" i="31"/>
  <c r="U52" i="11" s="1"/>
  <c r="C51" i="31"/>
  <c r="U51" i="11" s="1"/>
  <c r="C50" i="31"/>
  <c r="U50" i="11" s="1"/>
  <c r="C49" i="31"/>
  <c r="U49" i="11" s="1"/>
  <c r="C48" i="31"/>
  <c r="U48" i="11" s="1"/>
  <c r="C47" i="31"/>
  <c r="U47" i="11" s="1"/>
  <c r="C46" i="31"/>
  <c r="U46" i="11" s="1"/>
  <c r="C45" i="31"/>
  <c r="U45" i="11" s="1"/>
  <c r="C44" i="31"/>
  <c r="U44" i="11" s="1"/>
  <c r="C43" i="31"/>
  <c r="U43" i="11" s="1"/>
  <c r="C42" i="31"/>
  <c r="U42" i="11" s="1"/>
  <c r="C41" i="31"/>
  <c r="U41" i="11" s="1"/>
  <c r="C40" i="31"/>
  <c r="U40" i="11" s="1"/>
  <c r="C38" i="31"/>
  <c r="U38" i="11" s="1"/>
  <c r="C39" i="31"/>
  <c r="U39" i="11" s="1"/>
  <c r="C37" i="31"/>
  <c r="U37" i="11" s="1"/>
  <c r="C36" i="31"/>
  <c r="U36" i="11" s="1"/>
  <c r="C35" i="31"/>
  <c r="U35" i="11" s="1"/>
  <c r="C34" i="31"/>
  <c r="U34" i="11" s="1"/>
  <c r="C33" i="31"/>
  <c r="U33" i="11" s="1"/>
  <c r="C32" i="31"/>
  <c r="U32" i="11" s="1"/>
  <c r="C31" i="31"/>
  <c r="U31" i="11" s="1"/>
  <c r="C30" i="31"/>
  <c r="U30" i="11" s="1"/>
  <c r="C29" i="31"/>
  <c r="U29" i="11" s="1"/>
  <c r="C28" i="31"/>
  <c r="U28" i="11" s="1"/>
  <c r="C27" i="31"/>
  <c r="U27" i="11" s="1"/>
  <c r="C26" i="31"/>
  <c r="U26" i="11" s="1"/>
  <c r="C25" i="31"/>
  <c r="U25" i="11" s="1"/>
  <c r="C24" i="31"/>
  <c r="U24" i="11" s="1"/>
  <c r="C23" i="31"/>
  <c r="U23" i="11" s="1"/>
  <c r="C22" i="31"/>
  <c r="U22" i="11" s="1"/>
  <c r="C21" i="31"/>
  <c r="U21" i="11" s="1"/>
  <c r="C20" i="31"/>
  <c r="U20" i="11" s="1"/>
  <c r="C19" i="31"/>
  <c r="U19" i="11" s="1"/>
  <c r="C18" i="31"/>
  <c r="U18" i="11" s="1"/>
  <c r="C17" i="31"/>
  <c r="U17" i="11" s="1"/>
  <c r="C16" i="31"/>
  <c r="U16" i="11" s="1"/>
  <c r="C15" i="31"/>
  <c r="U15" i="11" s="1"/>
  <c r="C14" i="31"/>
  <c r="U14" i="11" s="1"/>
  <c r="C13" i="31"/>
  <c r="U13" i="11" s="1"/>
  <c r="C12" i="31"/>
  <c r="U12" i="11" s="1"/>
  <c r="C11" i="31"/>
  <c r="U11" i="11" s="1"/>
  <c r="C10" i="31" l="1"/>
  <c r="U10" i="11" s="1"/>
  <c r="C9" i="31"/>
  <c r="U9" i="11" s="1"/>
  <c r="G58" i="30"/>
  <c r="V58" i="54" s="1"/>
  <c r="F58" i="30"/>
  <c r="V58" i="53" s="1"/>
  <c r="E58" i="30"/>
  <c r="V58" i="52" s="1"/>
  <c r="D58" i="30"/>
  <c r="V58" i="51" s="1"/>
  <c r="C58" i="30"/>
  <c r="V58" i="11" s="1"/>
  <c r="G57" i="30"/>
  <c r="V57" i="54" s="1"/>
  <c r="F57" i="30"/>
  <c r="V57" i="53" s="1"/>
  <c r="E57" i="30"/>
  <c r="V57" i="52" s="1"/>
  <c r="D57" i="30"/>
  <c r="V57" i="51" s="1"/>
  <c r="C57" i="30"/>
  <c r="V57" i="11" s="1"/>
  <c r="G56" i="30"/>
  <c r="V56" i="54" s="1"/>
  <c r="F56" i="30"/>
  <c r="V56" i="53" s="1"/>
  <c r="E56" i="30"/>
  <c r="V56" i="52" s="1"/>
  <c r="D56" i="30"/>
  <c r="V56" i="51" s="1"/>
  <c r="C56" i="30"/>
  <c r="V56" i="11" s="1"/>
  <c r="G55" i="30"/>
  <c r="V55" i="54" s="1"/>
  <c r="F55" i="30"/>
  <c r="V55" i="53" s="1"/>
  <c r="E55" i="30"/>
  <c r="V55" i="52" s="1"/>
  <c r="D55" i="30"/>
  <c r="V55" i="51" s="1"/>
  <c r="C55" i="30"/>
  <c r="V55" i="11" s="1"/>
  <c r="G54" i="30"/>
  <c r="V54" i="54" s="1"/>
  <c r="F54" i="30"/>
  <c r="V54" i="53" s="1"/>
  <c r="E54" i="30"/>
  <c r="V54" i="52" s="1"/>
  <c r="D54" i="30"/>
  <c r="V54" i="51" s="1"/>
  <c r="C54" i="30"/>
  <c r="V54" i="11" s="1"/>
  <c r="G53" i="30"/>
  <c r="V53" i="54" s="1"/>
  <c r="F53" i="30"/>
  <c r="V53" i="53" s="1"/>
  <c r="E53" i="30"/>
  <c r="V53" i="52" s="1"/>
  <c r="D53" i="30"/>
  <c r="V53" i="51" s="1"/>
  <c r="C53" i="30"/>
  <c r="V53" i="11" s="1"/>
  <c r="G52" i="30"/>
  <c r="V52" i="54" s="1"/>
  <c r="F52" i="30"/>
  <c r="V52" i="53" s="1"/>
  <c r="E52" i="30"/>
  <c r="V52" i="52" s="1"/>
  <c r="D52" i="30"/>
  <c r="V52" i="51" s="1"/>
  <c r="C52" i="30"/>
  <c r="V52" i="11" s="1"/>
  <c r="G51" i="30"/>
  <c r="V51" i="54" s="1"/>
  <c r="F51" i="30"/>
  <c r="V51" i="53" s="1"/>
  <c r="E51" i="30"/>
  <c r="V51" i="52" s="1"/>
  <c r="D51" i="30"/>
  <c r="V51" i="51" s="1"/>
  <c r="C51" i="30"/>
  <c r="V51" i="11" s="1"/>
  <c r="G50" i="30"/>
  <c r="V50" i="54" s="1"/>
  <c r="F50" i="30"/>
  <c r="V50" i="53" s="1"/>
  <c r="E50" i="30"/>
  <c r="V50" i="52" s="1"/>
  <c r="D50" i="30"/>
  <c r="V50" i="51" s="1"/>
  <c r="C50" i="30"/>
  <c r="V50" i="11" s="1"/>
  <c r="G49" i="30"/>
  <c r="V49" i="54" s="1"/>
  <c r="F49" i="30"/>
  <c r="V49" i="53" s="1"/>
  <c r="E49" i="30"/>
  <c r="V49" i="52" s="1"/>
  <c r="D49" i="30"/>
  <c r="V49" i="51" s="1"/>
  <c r="C49" i="30"/>
  <c r="V49" i="11" s="1"/>
  <c r="G48" i="30"/>
  <c r="V48" i="54" s="1"/>
  <c r="F48" i="30"/>
  <c r="V48" i="53" s="1"/>
  <c r="E48" i="30"/>
  <c r="V48" i="52" s="1"/>
  <c r="D48" i="30"/>
  <c r="V48" i="51" s="1"/>
  <c r="C48" i="30"/>
  <c r="V48" i="11" s="1"/>
  <c r="G47" i="30"/>
  <c r="V47" i="54" s="1"/>
  <c r="F47" i="30"/>
  <c r="V47" i="53" s="1"/>
  <c r="E47" i="30"/>
  <c r="V47" i="52" s="1"/>
  <c r="D47" i="30"/>
  <c r="V47" i="51" s="1"/>
  <c r="C47" i="30"/>
  <c r="V47" i="11" s="1"/>
  <c r="G46" i="30"/>
  <c r="V46" i="54" s="1"/>
  <c r="F46" i="30"/>
  <c r="V46" i="53" s="1"/>
  <c r="E46" i="30"/>
  <c r="V46" i="52" s="1"/>
  <c r="D46" i="30"/>
  <c r="V46" i="51" s="1"/>
  <c r="C46" i="30"/>
  <c r="V46" i="11" s="1"/>
  <c r="G45" i="30"/>
  <c r="V45" i="54" s="1"/>
  <c r="F45" i="30"/>
  <c r="V45" i="53" s="1"/>
  <c r="E45" i="30"/>
  <c r="V45" i="52" s="1"/>
  <c r="D45" i="30"/>
  <c r="V45" i="51" s="1"/>
  <c r="C45" i="30"/>
  <c r="V45" i="11" s="1"/>
  <c r="G44" i="30"/>
  <c r="V44" i="54" s="1"/>
  <c r="F44" i="30"/>
  <c r="V44" i="53" s="1"/>
  <c r="E44" i="30"/>
  <c r="V44" i="52" s="1"/>
  <c r="D44" i="30"/>
  <c r="V44" i="51" s="1"/>
  <c r="C44" i="30"/>
  <c r="V44" i="11" s="1"/>
  <c r="G43" i="30"/>
  <c r="V43" i="54" s="1"/>
  <c r="F43" i="30"/>
  <c r="V43" i="53" s="1"/>
  <c r="E43" i="30"/>
  <c r="V43" i="52" s="1"/>
  <c r="D43" i="30"/>
  <c r="V43" i="51" s="1"/>
  <c r="C43" i="30"/>
  <c r="V43" i="11" s="1"/>
  <c r="G42" i="30"/>
  <c r="V42" i="54" s="1"/>
  <c r="F42" i="30"/>
  <c r="V42" i="53" s="1"/>
  <c r="E42" i="30"/>
  <c r="V42" i="52" s="1"/>
  <c r="D42" i="30"/>
  <c r="V42" i="51" s="1"/>
  <c r="C42" i="30"/>
  <c r="V42" i="11" s="1"/>
  <c r="G41" i="30"/>
  <c r="V41" i="54" s="1"/>
  <c r="F41" i="30"/>
  <c r="V41" i="53" s="1"/>
  <c r="E41" i="30"/>
  <c r="V41" i="52" s="1"/>
  <c r="D41" i="30"/>
  <c r="V41" i="51" s="1"/>
  <c r="C41" i="30"/>
  <c r="V41" i="11" s="1"/>
  <c r="G40" i="30"/>
  <c r="V40" i="54" s="1"/>
  <c r="F40" i="30"/>
  <c r="V40" i="53" s="1"/>
  <c r="E40" i="30"/>
  <c r="V40" i="52" s="1"/>
  <c r="D40" i="30"/>
  <c r="V40" i="51" s="1"/>
  <c r="C40" i="30"/>
  <c r="V40" i="11" s="1"/>
  <c r="G39" i="30"/>
  <c r="V39" i="54" s="1"/>
  <c r="F39" i="30"/>
  <c r="V39" i="53" s="1"/>
  <c r="E39" i="30"/>
  <c r="V39" i="52" s="1"/>
  <c r="D39" i="30"/>
  <c r="V39" i="51" s="1"/>
  <c r="C39" i="30"/>
  <c r="V39" i="11" s="1"/>
  <c r="G38" i="30"/>
  <c r="V38" i="54" s="1"/>
  <c r="F38" i="30"/>
  <c r="V38" i="53" s="1"/>
  <c r="E38" i="30"/>
  <c r="V38" i="52" s="1"/>
  <c r="D38" i="30"/>
  <c r="V38" i="51" s="1"/>
  <c r="C38" i="30"/>
  <c r="V38" i="11" s="1"/>
  <c r="G37" i="30"/>
  <c r="V37" i="54" s="1"/>
  <c r="F37" i="30"/>
  <c r="V37" i="53" s="1"/>
  <c r="E37" i="30"/>
  <c r="V37" i="52" s="1"/>
  <c r="D37" i="30"/>
  <c r="V37" i="51" s="1"/>
  <c r="C37" i="30"/>
  <c r="V37" i="11" s="1"/>
  <c r="G36" i="30"/>
  <c r="V36" i="54" s="1"/>
  <c r="F36" i="30"/>
  <c r="V36" i="53" s="1"/>
  <c r="E36" i="30"/>
  <c r="V36" i="52" s="1"/>
  <c r="D36" i="30"/>
  <c r="V36" i="51" s="1"/>
  <c r="C36" i="30"/>
  <c r="V36" i="11" s="1"/>
  <c r="G35" i="30"/>
  <c r="V35" i="54" s="1"/>
  <c r="F35" i="30"/>
  <c r="V35" i="53" s="1"/>
  <c r="E35" i="30"/>
  <c r="V35" i="52" s="1"/>
  <c r="D35" i="30"/>
  <c r="V35" i="51" s="1"/>
  <c r="C35" i="30"/>
  <c r="V35" i="11" s="1"/>
  <c r="G34" i="30"/>
  <c r="V34" i="54" s="1"/>
  <c r="F34" i="30"/>
  <c r="V34" i="53" s="1"/>
  <c r="E34" i="30"/>
  <c r="V34" i="52" s="1"/>
  <c r="D34" i="30"/>
  <c r="V34" i="51" s="1"/>
  <c r="C34" i="30"/>
  <c r="V34" i="11" s="1"/>
  <c r="G33" i="30"/>
  <c r="V33" i="54" s="1"/>
  <c r="F33" i="30"/>
  <c r="V33" i="53" s="1"/>
  <c r="E33" i="30"/>
  <c r="V33" i="52" s="1"/>
  <c r="D33" i="30"/>
  <c r="V33" i="51" s="1"/>
  <c r="C33" i="30"/>
  <c r="V33" i="11" s="1"/>
  <c r="G32" i="30"/>
  <c r="V32" i="54" s="1"/>
  <c r="F32" i="30"/>
  <c r="V32" i="53" s="1"/>
  <c r="E32" i="30"/>
  <c r="V32" i="52" s="1"/>
  <c r="D32" i="30"/>
  <c r="V32" i="51" s="1"/>
  <c r="C32" i="30"/>
  <c r="V32" i="11" s="1"/>
  <c r="G31" i="30"/>
  <c r="V31" i="54" s="1"/>
  <c r="F31" i="30"/>
  <c r="V31" i="53" s="1"/>
  <c r="E31" i="30"/>
  <c r="V31" i="52" s="1"/>
  <c r="D31" i="30"/>
  <c r="V31" i="51" s="1"/>
  <c r="C31" i="30"/>
  <c r="V31" i="11" s="1"/>
  <c r="G30" i="30"/>
  <c r="V30" i="54" s="1"/>
  <c r="F30" i="30"/>
  <c r="V30" i="53" s="1"/>
  <c r="E30" i="30"/>
  <c r="V30" i="52" s="1"/>
  <c r="D30" i="30"/>
  <c r="V30" i="51" s="1"/>
  <c r="C30" i="30"/>
  <c r="V30" i="11" s="1"/>
  <c r="G29" i="30"/>
  <c r="V29" i="54" s="1"/>
  <c r="F29" i="30"/>
  <c r="V29" i="53" s="1"/>
  <c r="E29" i="30"/>
  <c r="V29" i="52" s="1"/>
  <c r="D29" i="30"/>
  <c r="V29" i="51" s="1"/>
  <c r="C29" i="30"/>
  <c r="V29" i="11" s="1"/>
  <c r="G28" i="30"/>
  <c r="V28" i="54" s="1"/>
  <c r="F28" i="30"/>
  <c r="V28" i="53" s="1"/>
  <c r="E28" i="30"/>
  <c r="V28" i="52" s="1"/>
  <c r="D28" i="30"/>
  <c r="V28" i="51" s="1"/>
  <c r="C28" i="30"/>
  <c r="V28" i="11" s="1"/>
  <c r="G27" i="30"/>
  <c r="V27" i="54" s="1"/>
  <c r="F27" i="30"/>
  <c r="V27" i="53" s="1"/>
  <c r="E27" i="30"/>
  <c r="V27" i="52" s="1"/>
  <c r="D27" i="30"/>
  <c r="V27" i="51" s="1"/>
  <c r="C27" i="30"/>
  <c r="V27" i="11" s="1"/>
  <c r="G26" i="30"/>
  <c r="V26" i="54" s="1"/>
  <c r="F26" i="30"/>
  <c r="V26" i="53" s="1"/>
  <c r="E26" i="30"/>
  <c r="V26" i="52" s="1"/>
  <c r="D26" i="30"/>
  <c r="V26" i="51" s="1"/>
  <c r="C26" i="30"/>
  <c r="V26" i="11" s="1"/>
  <c r="G25" i="30"/>
  <c r="V25" i="54" s="1"/>
  <c r="F25" i="30"/>
  <c r="V25" i="53" s="1"/>
  <c r="E25" i="30"/>
  <c r="V25" i="52" s="1"/>
  <c r="D25" i="30"/>
  <c r="V25" i="51" s="1"/>
  <c r="C25" i="30"/>
  <c r="V25" i="11" s="1"/>
  <c r="G24" i="30"/>
  <c r="V24" i="54" s="1"/>
  <c r="F24" i="30"/>
  <c r="V24" i="53" s="1"/>
  <c r="E24" i="30"/>
  <c r="V24" i="52" s="1"/>
  <c r="D24" i="30"/>
  <c r="V24" i="51" s="1"/>
  <c r="C24" i="30"/>
  <c r="V24" i="11" s="1"/>
  <c r="G23" i="30"/>
  <c r="V23" i="54" s="1"/>
  <c r="F23" i="30"/>
  <c r="V23" i="53" s="1"/>
  <c r="E23" i="30"/>
  <c r="V23" i="52" s="1"/>
  <c r="D23" i="30"/>
  <c r="V23" i="51" s="1"/>
  <c r="C23" i="30"/>
  <c r="V23" i="11" s="1"/>
  <c r="G22" i="30"/>
  <c r="V22" i="54" s="1"/>
  <c r="F22" i="30"/>
  <c r="V22" i="53" s="1"/>
  <c r="E22" i="30"/>
  <c r="V22" i="52" s="1"/>
  <c r="D22" i="30"/>
  <c r="V22" i="51" s="1"/>
  <c r="C22" i="30"/>
  <c r="V22" i="11" s="1"/>
  <c r="G21" i="30"/>
  <c r="V21" i="54" s="1"/>
  <c r="F21" i="30"/>
  <c r="V21" i="53" s="1"/>
  <c r="E21" i="30"/>
  <c r="V21" i="52" s="1"/>
  <c r="D21" i="30"/>
  <c r="V21" i="51" s="1"/>
  <c r="C21" i="30"/>
  <c r="V21" i="11" s="1"/>
  <c r="G20" i="30"/>
  <c r="V20" i="54" s="1"/>
  <c r="F20" i="30"/>
  <c r="V20" i="53" s="1"/>
  <c r="E20" i="30"/>
  <c r="V20" i="52" s="1"/>
  <c r="D20" i="30"/>
  <c r="V20" i="51" s="1"/>
  <c r="C20" i="30"/>
  <c r="V20" i="11" s="1"/>
  <c r="G19" i="30"/>
  <c r="V19" i="54" s="1"/>
  <c r="F19" i="30"/>
  <c r="V19" i="53" s="1"/>
  <c r="E19" i="30"/>
  <c r="V19" i="52" s="1"/>
  <c r="D19" i="30"/>
  <c r="V19" i="51" s="1"/>
  <c r="C19" i="30"/>
  <c r="V19" i="11" s="1"/>
  <c r="G18" i="30"/>
  <c r="V18" i="54" s="1"/>
  <c r="F18" i="30"/>
  <c r="V18" i="53" s="1"/>
  <c r="E18" i="30"/>
  <c r="V18" i="52" s="1"/>
  <c r="D18" i="30"/>
  <c r="V18" i="51" s="1"/>
  <c r="C18" i="30"/>
  <c r="V18" i="11" s="1"/>
  <c r="G17" i="30"/>
  <c r="V17" i="54" s="1"/>
  <c r="F17" i="30"/>
  <c r="V17" i="53" s="1"/>
  <c r="E17" i="30"/>
  <c r="V17" i="52" s="1"/>
  <c r="D17" i="30"/>
  <c r="V17" i="51" s="1"/>
  <c r="C17" i="30"/>
  <c r="V17" i="11" s="1"/>
  <c r="G16" i="30"/>
  <c r="V16" i="54" s="1"/>
  <c r="F16" i="30"/>
  <c r="V16" i="53" s="1"/>
  <c r="E16" i="30"/>
  <c r="V16" i="52" s="1"/>
  <c r="D16" i="30"/>
  <c r="V16" i="51" s="1"/>
  <c r="C16" i="30"/>
  <c r="V16" i="11" s="1"/>
  <c r="G15" i="30"/>
  <c r="V15" i="54" s="1"/>
  <c r="F15" i="30"/>
  <c r="V15" i="53" s="1"/>
  <c r="E15" i="30"/>
  <c r="V15" i="52" s="1"/>
  <c r="D15" i="30"/>
  <c r="V15" i="51" s="1"/>
  <c r="C15" i="30"/>
  <c r="V15" i="11" s="1"/>
  <c r="G14" i="30"/>
  <c r="V14" i="54" s="1"/>
  <c r="F14" i="30"/>
  <c r="V14" i="53" s="1"/>
  <c r="E14" i="30"/>
  <c r="V14" i="52" s="1"/>
  <c r="D14" i="30"/>
  <c r="V14" i="51" s="1"/>
  <c r="C14" i="30"/>
  <c r="V14" i="11" s="1"/>
  <c r="G13" i="30"/>
  <c r="V13" i="54" s="1"/>
  <c r="F13" i="30"/>
  <c r="V13" i="53" s="1"/>
  <c r="E13" i="30"/>
  <c r="V13" i="52" s="1"/>
  <c r="D13" i="30"/>
  <c r="V13" i="51" s="1"/>
  <c r="C13" i="30"/>
  <c r="V13" i="11" s="1"/>
  <c r="G12" i="30"/>
  <c r="V12" i="54" s="1"/>
  <c r="F12" i="30"/>
  <c r="V12" i="53" s="1"/>
  <c r="E12" i="30"/>
  <c r="V12" i="52" s="1"/>
  <c r="D12" i="30"/>
  <c r="V12" i="51" s="1"/>
  <c r="C12" i="30"/>
  <c r="V12" i="11" s="1"/>
  <c r="G11" i="30"/>
  <c r="V11" i="54" s="1"/>
  <c r="F11" i="30"/>
  <c r="V11" i="53" s="1"/>
  <c r="E11" i="30"/>
  <c r="V11" i="52" s="1"/>
  <c r="D11" i="30"/>
  <c r="V11" i="51" s="1"/>
  <c r="C11" i="30"/>
  <c r="V11" i="11" s="1"/>
  <c r="G10" i="30"/>
  <c r="V10" i="54" s="1"/>
  <c r="F10" i="30"/>
  <c r="V10" i="53" s="1"/>
  <c r="E10" i="30"/>
  <c r="V10" i="52" s="1"/>
  <c r="D10" i="30"/>
  <c r="V10" i="51" s="1"/>
  <c r="C10" i="30"/>
  <c r="V10" i="11" s="1"/>
  <c r="G9" i="30"/>
  <c r="V9" i="54" s="1"/>
  <c r="F9" i="30"/>
  <c r="V9" i="53" s="1"/>
  <c r="E9" i="30"/>
  <c r="V9" i="52" s="1"/>
  <c r="D9" i="30"/>
  <c r="V9" i="51" s="1"/>
  <c r="C9" i="30"/>
  <c r="V9" i="11" s="1"/>
  <c r="C58" i="27"/>
  <c r="W58" i="11" s="1"/>
  <c r="C57" i="27"/>
  <c r="W57" i="11" s="1"/>
  <c r="C56" i="27"/>
  <c r="W56" i="11" s="1"/>
  <c r="C55" i="27"/>
  <c r="W55" i="11" s="1"/>
  <c r="C54" i="27"/>
  <c r="W54" i="11" s="1"/>
  <c r="C53" i="27"/>
  <c r="W53" i="11" s="1"/>
  <c r="C52" i="27"/>
  <c r="W52" i="11" s="1"/>
  <c r="C51" i="27"/>
  <c r="W51" i="11" s="1"/>
  <c r="C50" i="27"/>
  <c r="W50" i="11" s="1"/>
  <c r="C49" i="27"/>
  <c r="W49" i="11" s="1"/>
  <c r="C48" i="27"/>
  <c r="W48" i="11" s="1"/>
  <c r="C47" i="27"/>
  <c r="W47" i="11" s="1"/>
  <c r="C46" i="27"/>
  <c r="W46" i="11" s="1"/>
  <c r="C45" i="27"/>
  <c r="W45" i="11" s="1"/>
  <c r="C44" i="27"/>
  <c r="W44" i="11" s="1"/>
  <c r="C43" i="27"/>
  <c r="W43" i="11" s="1"/>
  <c r="C42" i="27"/>
  <c r="W42" i="11" s="1"/>
  <c r="C41" i="27"/>
  <c r="W41" i="11" s="1"/>
  <c r="C40" i="27"/>
  <c r="W40" i="11" s="1"/>
  <c r="C39" i="27"/>
  <c r="W39" i="11" s="1"/>
  <c r="C38" i="27"/>
  <c r="W38" i="11" s="1"/>
  <c r="C37" i="27"/>
  <c r="W37" i="11" s="1"/>
  <c r="C36" i="27"/>
  <c r="W36" i="11" s="1"/>
  <c r="C35" i="27"/>
  <c r="W35" i="11" s="1"/>
  <c r="C34" i="27"/>
  <c r="W34" i="11" s="1"/>
  <c r="C33" i="27"/>
  <c r="W33" i="11" s="1"/>
  <c r="C32" i="27"/>
  <c r="W32" i="11" s="1"/>
  <c r="C31" i="27"/>
  <c r="W31" i="11" s="1"/>
  <c r="C30" i="27"/>
  <c r="W30" i="11" s="1"/>
  <c r="C29" i="27"/>
  <c r="W29" i="11" s="1"/>
  <c r="C28" i="27"/>
  <c r="W28" i="11" s="1"/>
  <c r="C27" i="27"/>
  <c r="W27" i="11" s="1"/>
  <c r="C26" i="27"/>
  <c r="W26" i="11" s="1"/>
  <c r="C25" i="27"/>
  <c r="W25" i="11" s="1"/>
  <c r="C24" i="27"/>
  <c r="W24" i="11" s="1"/>
  <c r="C23" i="27"/>
  <c r="W23" i="11" s="1"/>
  <c r="C22" i="27"/>
  <c r="W22" i="11" s="1"/>
  <c r="C21" i="27"/>
  <c r="W21" i="11" s="1"/>
  <c r="C20" i="27"/>
  <c r="W20" i="11" s="1"/>
  <c r="C19" i="27"/>
  <c r="W19" i="11" s="1"/>
  <c r="C18" i="27"/>
  <c r="W18" i="11" s="1"/>
  <c r="C17" i="27"/>
  <c r="W17" i="11" s="1"/>
  <c r="C16" i="27"/>
  <c r="W16" i="11" s="1"/>
  <c r="C15" i="27"/>
  <c r="W15" i="11" s="1"/>
  <c r="C14" i="27"/>
  <c r="W14" i="11" s="1"/>
  <c r="C13" i="27"/>
  <c r="W13" i="11" s="1"/>
  <c r="C12" i="27"/>
  <c r="W12" i="11" s="1"/>
  <c r="C11" i="27"/>
  <c r="W11" i="11" s="1"/>
  <c r="C10" i="27"/>
  <c r="W10" i="11" s="1"/>
  <c r="C9" i="27"/>
  <c r="W9" i="11" s="1"/>
  <c r="D58" i="27"/>
  <c r="W58" i="51" s="1"/>
  <c r="D57" i="27"/>
  <c r="W57" i="51" s="1"/>
  <c r="D56" i="27"/>
  <c r="W56" i="51" s="1"/>
  <c r="D55" i="27"/>
  <c r="W55" i="51" s="1"/>
  <c r="D54" i="27"/>
  <c r="W54" i="51" s="1"/>
  <c r="D53" i="27"/>
  <c r="W53" i="51" s="1"/>
  <c r="D52" i="27"/>
  <c r="W52" i="51" s="1"/>
  <c r="D51" i="27"/>
  <c r="W51" i="51" s="1"/>
  <c r="D50" i="27"/>
  <c r="W50" i="51" s="1"/>
  <c r="D49" i="27"/>
  <c r="W49" i="51" s="1"/>
  <c r="D48" i="27"/>
  <c r="W48" i="51" s="1"/>
  <c r="D47" i="27"/>
  <c r="W47" i="51" s="1"/>
  <c r="D46" i="27"/>
  <c r="W46" i="51" s="1"/>
  <c r="D45" i="27"/>
  <c r="W45" i="51" s="1"/>
  <c r="D44" i="27"/>
  <c r="W44" i="51" s="1"/>
  <c r="D43" i="27"/>
  <c r="W43" i="51" s="1"/>
  <c r="D42" i="27"/>
  <c r="W42" i="51" s="1"/>
  <c r="D41" i="27"/>
  <c r="W41" i="51" s="1"/>
  <c r="D40" i="27"/>
  <c r="W40" i="51" s="1"/>
  <c r="D39" i="27"/>
  <c r="W39" i="51" s="1"/>
  <c r="D38" i="27"/>
  <c r="W38" i="51" s="1"/>
  <c r="D37" i="27"/>
  <c r="W37" i="51" s="1"/>
  <c r="D36" i="27"/>
  <c r="W36" i="51" s="1"/>
  <c r="D35" i="27"/>
  <c r="W35" i="51" s="1"/>
  <c r="D34" i="27"/>
  <c r="W34" i="51" s="1"/>
  <c r="D33" i="27"/>
  <c r="W33" i="51" s="1"/>
  <c r="D32" i="27"/>
  <c r="W32" i="51" s="1"/>
  <c r="D31" i="27"/>
  <c r="W31" i="51" s="1"/>
  <c r="D30" i="27"/>
  <c r="W30" i="51" s="1"/>
  <c r="D29" i="27"/>
  <c r="W29" i="51" s="1"/>
  <c r="D28" i="27"/>
  <c r="W28" i="51" s="1"/>
  <c r="D27" i="27"/>
  <c r="W27" i="51" s="1"/>
  <c r="D26" i="27"/>
  <c r="W26" i="51" s="1"/>
  <c r="D25" i="27"/>
  <c r="W25" i="51" s="1"/>
  <c r="D24" i="27"/>
  <c r="W24" i="51" s="1"/>
  <c r="D23" i="27"/>
  <c r="W23" i="51" s="1"/>
  <c r="D22" i="27"/>
  <c r="W22" i="51" s="1"/>
  <c r="D21" i="27"/>
  <c r="W21" i="51" s="1"/>
  <c r="D20" i="27"/>
  <c r="W20" i="51" s="1"/>
  <c r="D19" i="27"/>
  <c r="W19" i="51" s="1"/>
  <c r="D18" i="27"/>
  <c r="W18" i="51" s="1"/>
  <c r="D17" i="27"/>
  <c r="W17" i="51" s="1"/>
  <c r="D16" i="27"/>
  <c r="W16" i="51" s="1"/>
  <c r="D15" i="27"/>
  <c r="W15" i="51" s="1"/>
  <c r="D14" i="27"/>
  <c r="W14" i="51" s="1"/>
  <c r="D13" i="27"/>
  <c r="W13" i="51" s="1"/>
  <c r="D12" i="27"/>
  <c r="W12" i="51" s="1"/>
  <c r="D11" i="27"/>
  <c r="W11" i="51" s="1"/>
  <c r="D10" i="27"/>
  <c r="W10" i="51" s="1"/>
  <c r="D9" i="27"/>
  <c r="W9" i="51" s="1"/>
  <c r="G45" i="27"/>
  <c r="F45" i="27"/>
  <c r="W45" i="53" s="1"/>
  <c r="E45" i="27"/>
  <c r="W45" i="52" s="1"/>
  <c r="G19" i="27"/>
  <c r="F19" i="27"/>
  <c r="W19" i="53" s="1"/>
  <c r="E19" i="27"/>
  <c r="W19" i="52" s="1"/>
  <c r="G56" i="27"/>
  <c r="F56" i="27"/>
  <c r="W56" i="53" s="1"/>
  <c r="E56" i="27"/>
  <c r="W56" i="52" s="1"/>
  <c r="G58" i="27"/>
  <c r="F58" i="27"/>
  <c r="W58" i="53" s="1"/>
  <c r="E58" i="27"/>
  <c r="W58" i="52" s="1"/>
  <c r="G57" i="27"/>
  <c r="F57" i="27"/>
  <c r="W57" i="53" s="1"/>
  <c r="E57" i="27"/>
  <c r="W57" i="52" s="1"/>
  <c r="G46" i="27"/>
  <c r="F46" i="27"/>
  <c r="W46" i="53" s="1"/>
  <c r="E46" i="27"/>
  <c r="W46" i="52" s="1"/>
  <c r="G55" i="27"/>
  <c r="F55" i="27"/>
  <c r="W55" i="53" s="1"/>
  <c r="E55" i="27"/>
  <c r="W55" i="52" s="1"/>
  <c r="G54" i="27"/>
  <c r="F54" i="27"/>
  <c r="W54" i="53" s="1"/>
  <c r="E54" i="27"/>
  <c r="W54" i="52" s="1"/>
  <c r="G53" i="27"/>
  <c r="F53" i="27"/>
  <c r="W53" i="53" s="1"/>
  <c r="E53" i="27"/>
  <c r="W53" i="52" s="1"/>
  <c r="G52" i="27"/>
  <c r="F52" i="27"/>
  <c r="W52" i="53" s="1"/>
  <c r="E52" i="27"/>
  <c r="W52" i="52" s="1"/>
  <c r="G51" i="27"/>
  <c r="F51" i="27"/>
  <c r="W51" i="53" s="1"/>
  <c r="E51" i="27"/>
  <c r="W51" i="52" s="1"/>
  <c r="G50" i="27"/>
  <c r="F50" i="27"/>
  <c r="W50" i="53" s="1"/>
  <c r="E50" i="27"/>
  <c r="W50" i="52" s="1"/>
  <c r="G49" i="27"/>
  <c r="F49" i="27"/>
  <c r="W49" i="53" s="1"/>
  <c r="E49" i="27"/>
  <c r="W49" i="52" s="1"/>
  <c r="G48" i="27"/>
  <c r="F48" i="27"/>
  <c r="W48" i="53" s="1"/>
  <c r="E48" i="27"/>
  <c r="W48" i="52" s="1"/>
  <c r="G47" i="27"/>
  <c r="F47" i="27"/>
  <c r="W47" i="53" s="1"/>
  <c r="E47" i="27"/>
  <c r="W47" i="52" s="1"/>
  <c r="G43" i="27"/>
  <c r="F43" i="27"/>
  <c r="W43" i="53" s="1"/>
  <c r="E43" i="27"/>
  <c r="W43" i="52" s="1"/>
  <c r="G44" i="27"/>
  <c r="F44" i="27"/>
  <c r="W44" i="53" s="1"/>
  <c r="E44" i="27"/>
  <c r="W44" i="52" s="1"/>
  <c r="G41" i="27"/>
  <c r="F41" i="27"/>
  <c r="W41" i="53" s="1"/>
  <c r="E41" i="27"/>
  <c r="W41" i="52" s="1"/>
  <c r="G34" i="27"/>
  <c r="F34" i="27"/>
  <c r="W34" i="53" s="1"/>
  <c r="E34" i="27"/>
  <c r="W34" i="52" s="1"/>
  <c r="G42" i="27"/>
  <c r="F42" i="27"/>
  <c r="W42" i="53" s="1"/>
  <c r="E42" i="27"/>
  <c r="W42" i="52" s="1"/>
  <c r="G40" i="27"/>
  <c r="F40" i="27"/>
  <c r="W40" i="53" s="1"/>
  <c r="E40" i="27"/>
  <c r="W40" i="52" s="1"/>
  <c r="G39" i="27"/>
  <c r="F39" i="27"/>
  <c r="W39" i="53" s="1"/>
  <c r="E39" i="27"/>
  <c r="W39" i="52" s="1"/>
  <c r="G38" i="27"/>
  <c r="F38" i="27"/>
  <c r="W38" i="53" s="1"/>
  <c r="E38" i="27"/>
  <c r="W38" i="52" s="1"/>
  <c r="G37" i="27"/>
  <c r="F37" i="27"/>
  <c r="W37" i="53" s="1"/>
  <c r="E37" i="27"/>
  <c r="W37" i="52" s="1"/>
  <c r="G36" i="27"/>
  <c r="F36" i="27"/>
  <c r="W36" i="53" s="1"/>
  <c r="E36" i="27"/>
  <c r="W36" i="52" s="1"/>
  <c r="G35" i="27"/>
  <c r="F35" i="27"/>
  <c r="W35" i="53" s="1"/>
  <c r="E35" i="27"/>
  <c r="W35" i="52" s="1"/>
  <c r="G23" i="27"/>
  <c r="F23" i="27"/>
  <c r="W23" i="53" s="1"/>
  <c r="E23" i="27"/>
  <c r="W23" i="52" s="1"/>
  <c r="G33" i="27"/>
  <c r="F33" i="27"/>
  <c r="W33" i="53" s="1"/>
  <c r="E33" i="27"/>
  <c r="W33" i="52" s="1"/>
  <c r="G32" i="27"/>
  <c r="F32" i="27"/>
  <c r="W32" i="53" s="1"/>
  <c r="E32" i="27"/>
  <c r="W32" i="52" s="1"/>
  <c r="G31" i="27"/>
  <c r="F31" i="27"/>
  <c r="W31" i="53" s="1"/>
  <c r="E31" i="27"/>
  <c r="W31" i="52" s="1"/>
  <c r="G30" i="27"/>
  <c r="F30" i="27"/>
  <c r="W30" i="53" s="1"/>
  <c r="E30" i="27"/>
  <c r="W30" i="52" s="1"/>
  <c r="G29" i="27"/>
  <c r="F29" i="27"/>
  <c r="W29" i="53" s="1"/>
  <c r="E29" i="27"/>
  <c r="W29" i="52" s="1"/>
  <c r="G28" i="27"/>
  <c r="F28" i="27"/>
  <c r="W28" i="53" s="1"/>
  <c r="E28" i="27"/>
  <c r="W28" i="52" s="1"/>
  <c r="G27" i="27"/>
  <c r="F27" i="27"/>
  <c r="W27" i="53" s="1"/>
  <c r="E27" i="27"/>
  <c r="W27" i="52" s="1"/>
  <c r="G26" i="27"/>
  <c r="F26" i="27"/>
  <c r="W26" i="53" s="1"/>
  <c r="E26" i="27"/>
  <c r="W26" i="52" s="1"/>
  <c r="G25" i="27"/>
  <c r="F25" i="27"/>
  <c r="W25" i="53" s="1"/>
  <c r="E25" i="27"/>
  <c r="W25" i="52" s="1"/>
  <c r="G24" i="27"/>
  <c r="F24" i="27"/>
  <c r="W24" i="53" s="1"/>
  <c r="E24" i="27"/>
  <c r="W24" i="52" s="1"/>
  <c r="G22" i="27"/>
  <c r="F22" i="27"/>
  <c r="W22" i="53" s="1"/>
  <c r="E22" i="27"/>
  <c r="W22" i="52" s="1"/>
  <c r="G21" i="27"/>
  <c r="F21" i="27"/>
  <c r="W21" i="53" s="1"/>
  <c r="E21" i="27"/>
  <c r="W21" i="52" s="1"/>
  <c r="G20" i="27"/>
  <c r="F20" i="27"/>
  <c r="W20" i="53" s="1"/>
  <c r="E20" i="27"/>
  <c r="W20" i="52" s="1"/>
  <c r="G18" i="27"/>
  <c r="F18" i="27"/>
  <c r="W18" i="53" s="1"/>
  <c r="E18" i="27"/>
  <c r="W18" i="52" s="1"/>
  <c r="G15" i="27"/>
  <c r="F15" i="27"/>
  <c r="W15" i="53" s="1"/>
  <c r="E15" i="27"/>
  <c r="W15" i="52" s="1"/>
  <c r="G17" i="27" l="1"/>
  <c r="F17" i="27"/>
  <c r="W17" i="53" s="1"/>
  <c r="E17" i="27"/>
  <c r="W17" i="52" s="1"/>
  <c r="G16" i="27"/>
  <c r="F16" i="27"/>
  <c r="W16" i="53" s="1"/>
  <c r="E16" i="27"/>
  <c r="W16" i="52" s="1"/>
  <c r="G13" i="27"/>
  <c r="F13" i="27"/>
  <c r="W13" i="53" s="1"/>
  <c r="E13" i="27"/>
  <c r="W13" i="52" s="1"/>
  <c r="G11" i="27"/>
  <c r="F11" i="27"/>
  <c r="W11" i="53" s="1"/>
  <c r="E11" i="27"/>
  <c r="W11" i="52" s="1"/>
  <c r="G14" i="27"/>
  <c r="F14" i="27"/>
  <c r="W14" i="53" s="1"/>
  <c r="E14" i="27"/>
  <c r="W14" i="52" s="1"/>
  <c r="G10" i="27"/>
  <c r="F10" i="27"/>
  <c r="W10" i="53" s="1"/>
  <c r="E10" i="27"/>
  <c r="W10" i="52" s="1"/>
  <c r="G12" i="27"/>
  <c r="F12" i="27"/>
  <c r="W12" i="53" s="1"/>
  <c r="E12" i="27"/>
  <c r="W12" i="52" s="1"/>
  <c r="G9" i="27"/>
  <c r="F9" i="27"/>
  <c r="W9" i="53" s="1"/>
  <c r="E9" i="27"/>
  <c r="W9" i="52" s="1"/>
</calcChain>
</file>

<file path=xl/sharedStrings.xml><?xml version="1.0" encoding="utf-8"?>
<sst xmlns="http://schemas.openxmlformats.org/spreadsheetml/2006/main" count="1511" uniqueCount="85">
  <si>
    <t>TOTAL</t>
  </si>
  <si>
    <t>PENAL</t>
  </si>
  <si>
    <t>CIVIL</t>
  </si>
  <si>
    <t>CONTENCIOSO</t>
  </si>
  <si>
    <t>SOCIAL</t>
  </si>
  <si>
    <t>Cantabria</t>
  </si>
  <si>
    <t>Serie Total</t>
  </si>
  <si>
    <t>Serie Civil</t>
  </si>
  <si>
    <t>Serie Penal</t>
  </si>
  <si>
    <t>Serie Contencioso</t>
  </si>
  <si>
    <t>Serie Social</t>
  </si>
  <si>
    <t>Año 2009</t>
  </si>
  <si>
    <t>Año 2008</t>
  </si>
  <si>
    <t>Año 2007</t>
  </si>
  <si>
    <t>Año 2006</t>
  </si>
  <si>
    <t>Año 2005</t>
  </si>
  <si>
    <t>Año 2004</t>
  </si>
  <si>
    <t>Año 2003</t>
  </si>
  <si>
    <t>Año 2002</t>
  </si>
  <si>
    <t>Año 2001</t>
  </si>
  <si>
    <t>Año 2010</t>
  </si>
  <si>
    <t>Año 2011</t>
  </si>
  <si>
    <t>Año 2012</t>
  </si>
  <si>
    <t>Año 2013</t>
  </si>
  <si>
    <t>Año 2014</t>
  </si>
  <si>
    <t>Año 2015</t>
  </si>
  <si>
    <t>Año 2016</t>
  </si>
  <si>
    <t>Año 2017</t>
  </si>
  <si>
    <t>Año 2018</t>
  </si>
  <si>
    <r>
      <t xml:space="preserve">Tasa de resolución: </t>
    </r>
    <r>
      <rPr>
        <sz val="10"/>
        <color theme="4"/>
        <rFont val="Verdana"/>
        <family val="2"/>
      </rPr>
      <t xml:space="preserve"> cociente entre los asuntos resueltos en el período e ingresados en el mismo.</t>
    </r>
  </si>
  <si>
    <r>
      <t>Fuente</t>
    </r>
    <r>
      <rPr>
        <sz val="10"/>
        <color theme="4"/>
        <rFont val="Verdana"/>
        <family val="2"/>
      </rPr>
      <t>: Sección de Estadística Judicial. CGPJ</t>
    </r>
  </si>
  <si>
    <t>Asturias</t>
  </si>
  <si>
    <t>Madrid</t>
  </si>
  <si>
    <t>Murcia</t>
  </si>
  <si>
    <t>Navarra</t>
  </si>
  <si>
    <t>Año 2019</t>
  </si>
  <si>
    <t>Año 2020</t>
  </si>
  <si>
    <t>Año 2021</t>
  </si>
  <si>
    <t>Provincias</t>
  </si>
  <si>
    <t>Araba/Álava</t>
  </si>
  <si>
    <t>Albacete</t>
  </si>
  <si>
    <t>Alicante/Alacant</t>
  </si>
  <si>
    <t>Almería</t>
  </si>
  <si>
    <t>Ávila</t>
  </si>
  <si>
    <t>Badajoz</t>
  </si>
  <si>
    <t>Balears, Illes</t>
  </si>
  <si>
    <t>Barcelona</t>
  </si>
  <si>
    <t>Burgos</t>
  </si>
  <si>
    <t>Cáceres</t>
  </si>
  <si>
    <t>Cádiz</t>
  </si>
  <si>
    <t>Castellón/Castelló</t>
  </si>
  <si>
    <t>Ciudad Real</t>
  </si>
  <si>
    <t>Córdoba</t>
  </si>
  <si>
    <t>Coruña, A</t>
  </si>
  <si>
    <t>Cuenca</t>
  </si>
  <si>
    <t>Girona</t>
  </si>
  <si>
    <t>Granada</t>
  </si>
  <si>
    <t>Guadalajara</t>
  </si>
  <si>
    <t>Gipuzkoa</t>
  </si>
  <si>
    <t>Huelva</t>
  </si>
  <si>
    <t>Huesca</t>
  </si>
  <si>
    <t>Jaén</t>
  </si>
  <si>
    <t>León</t>
  </si>
  <si>
    <t>Lleida</t>
  </si>
  <si>
    <t>Rioja, La</t>
  </si>
  <si>
    <t>Lugo</t>
  </si>
  <si>
    <t>Málaga</t>
  </si>
  <si>
    <t>Ourense</t>
  </si>
  <si>
    <t>Palencia</t>
  </si>
  <si>
    <t>Palmas, Las</t>
  </si>
  <si>
    <t>Pontevedra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</si>
  <si>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</si>
  <si>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</si>
  <si>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</si>
  <si>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</si>
  <si>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</si>
  <si>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</si>
  <si>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</si>
  <si>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</si>
  <si>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</si>
  <si>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</si>
  <si>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Bizkaia</t>
  </si>
  <si>
    <t>Zamora</t>
  </si>
  <si>
    <t>Zaragoza</t>
  </si>
  <si>
    <t>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</si>
</sst>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11"/>
      <color theme="4"/>
      <name val="Verdana"/>
      <family val="2"/>
    </font>
    <font>
      <b/>
      <sz val="10"/>
      <color theme="4"/>
      <name val="Verdana"/>
      <family val="2"/>
    </font>
    <font>
      <sz val="10"/>
      <color theme="4"/>
      <name val="Verdana"/>
      <family val="2"/>
    </font>
    <font>
      <sz val="11"/>
      <color theme="1"/>
      <name val="Verdana"/>
      <family val="2"/>
    </font>
    <font>
      <b/>
      <u/>
      <sz val="12"/>
      <color indexed="12"/>
      <name val="Arial"/>
      <family val="2"/>
    </font>
    <font>
      <b/>
      <sz val="10"/>
      <color theme="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 style="thin">
        <color theme="0"/>
      </right>
      <top/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4" fillId="0" borderId="0" xfId="0" applyFont="1"/>
    <xf numFmtId="0" fontId="4" fillId="0" borderId="0" xfId="2" applyFont="1"/>
    <xf numFmtId="0" fontId="5" fillId="0" borderId="0" xfId="1" applyFont="1" applyAlignment="1" applyProtection="1">
      <alignment horizontal="left" vertic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4" fontId="8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0" fontId="10" fillId="3" borderId="4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</cellXfs>
  <cellStyles count="4">
    <cellStyle name="Hipervínculo" xfId="1" builtinId="8"/>
    <cellStyle name="Hipervínculo 2" xfId="3" xr:uid="{617DE3E2-8827-4C9F-9368-4721782356EE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1" Type="http://schemas.openxmlformats.org/officeDocument/2006/relationships/worksheet" Target="worksheets/sheet21.xml"/><Relationship Id="rId170" Type="http://schemas.openxmlformats.org/officeDocument/2006/relationships/externalLink" Target="externalLinks/externalLink142.xml"/><Relationship Id="rId268" Type="http://schemas.openxmlformats.org/officeDocument/2006/relationships/externalLink" Target="externalLinks/externalLink240.xml"/><Relationship Id="rId475" Type="http://schemas.openxmlformats.org/officeDocument/2006/relationships/externalLink" Target="externalLinks/externalLink447.xml"/><Relationship Id="rId682" Type="http://schemas.openxmlformats.org/officeDocument/2006/relationships/externalLink" Target="externalLinks/externalLink654.xml"/><Relationship Id="rId128" Type="http://schemas.openxmlformats.org/officeDocument/2006/relationships/externalLink" Target="externalLinks/externalLink100.xml"/><Relationship Id="rId335" Type="http://schemas.openxmlformats.org/officeDocument/2006/relationships/externalLink" Target="externalLinks/externalLink307.xml"/><Relationship Id="rId542" Type="http://schemas.openxmlformats.org/officeDocument/2006/relationships/externalLink" Target="externalLinks/externalLink514.xml"/><Relationship Id="rId987" Type="http://schemas.openxmlformats.org/officeDocument/2006/relationships/externalLink" Target="externalLinks/externalLink959.xml"/><Relationship Id="rId402" Type="http://schemas.openxmlformats.org/officeDocument/2006/relationships/externalLink" Target="externalLinks/externalLink374.xml"/><Relationship Id="rId847" Type="http://schemas.openxmlformats.org/officeDocument/2006/relationships/externalLink" Target="externalLinks/externalLink819.xml"/><Relationship Id="rId1032" Type="http://schemas.openxmlformats.org/officeDocument/2006/relationships/externalLink" Target="externalLinks/externalLink1004.xml"/><Relationship Id="rId707" Type="http://schemas.openxmlformats.org/officeDocument/2006/relationships/externalLink" Target="externalLinks/externalLink679.xml"/><Relationship Id="rId914" Type="http://schemas.openxmlformats.org/officeDocument/2006/relationships/externalLink" Target="externalLinks/externalLink886.xml"/><Relationship Id="rId43" Type="http://schemas.openxmlformats.org/officeDocument/2006/relationships/externalLink" Target="externalLinks/externalLink15.xml"/><Relationship Id="rId192" Type="http://schemas.openxmlformats.org/officeDocument/2006/relationships/externalLink" Target="externalLinks/externalLink164.xml"/><Relationship Id="rId497" Type="http://schemas.openxmlformats.org/officeDocument/2006/relationships/externalLink" Target="externalLinks/externalLink469.xml"/><Relationship Id="rId357" Type="http://schemas.openxmlformats.org/officeDocument/2006/relationships/externalLink" Target="externalLinks/externalLink329.xml"/><Relationship Id="rId217" Type="http://schemas.openxmlformats.org/officeDocument/2006/relationships/externalLink" Target="externalLinks/externalLink189.xml"/><Relationship Id="rId564" Type="http://schemas.openxmlformats.org/officeDocument/2006/relationships/externalLink" Target="externalLinks/externalLink536.xml"/><Relationship Id="rId771" Type="http://schemas.openxmlformats.org/officeDocument/2006/relationships/externalLink" Target="externalLinks/externalLink743.xml"/><Relationship Id="rId869" Type="http://schemas.openxmlformats.org/officeDocument/2006/relationships/externalLink" Target="externalLinks/externalLink841.xml"/><Relationship Id="rId424" Type="http://schemas.openxmlformats.org/officeDocument/2006/relationships/externalLink" Target="externalLinks/externalLink396.xml"/><Relationship Id="rId631" Type="http://schemas.openxmlformats.org/officeDocument/2006/relationships/externalLink" Target="externalLinks/externalLink603.xml"/><Relationship Id="rId729" Type="http://schemas.openxmlformats.org/officeDocument/2006/relationships/externalLink" Target="externalLinks/externalLink701.xml"/><Relationship Id="rId1054" Type="http://schemas.openxmlformats.org/officeDocument/2006/relationships/externalLink" Target="externalLinks/externalLink1026.xml"/><Relationship Id="rId936" Type="http://schemas.openxmlformats.org/officeDocument/2006/relationships/externalLink" Target="externalLinks/externalLink908.xml"/><Relationship Id="rId1121" Type="http://schemas.openxmlformats.org/officeDocument/2006/relationships/externalLink" Target="externalLinks/externalLink1093.xml"/><Relationship Id="rId65" Type="http://schemas.openxmlformats.org/officeDocument/2006/relationships/externalLink" Target="externalLinks/externalLink37.xml"/><Relationship Id="rId281" Type="http://schemas.openxmlformats.org/officeDocument/2006/relationships/externalLink" Target="externalLinks/externalLink253.xml"/><Relationship Id="rId141" Type="http://schemas.openxmlformats.org/officeDocument/2006/relationships/externalLink" Target="externalLinks/externalLink113.xml"/><Relationship Id="rId379" Type="http://schemas.openxmlformats.org/officeDocument/2006/relationships/externalLink" Target="externalLinks/externalLink351.xml"/><Relationship Id="rId586" Type="http://schemas.openxmlformats.org/officeDocument/2006/relationships/externalLink" Target="externalLinks/externalLink558.xml"/><Relationship Id="rId793" Type="http://schemas.openxmlformats.org/officeDocument/2006/relationships/externalLink" Target="externalLinks/externalLink765.xml"/><Relationship Id="rId7" Type="http://schemas.openxmlformats.org/officeDocument/2006/relationships/worksheet" Target="worksheets/sheet7.xml"/><Relationship Id="rId239" Type="http://schemas.openxmlformats.org/officeDocument/2006/relationships/externalLink" Target="externalLinks/externalLink211.xml"/><Relationship Id="rId446" Type="http://schemas.openxmlformats.org/officeDocument/2006/relationships/externalLink" Target="externalLinks/externalLink418.xml"/><Relationship Id="rId653" Type="http://schemas.openxmlformats.org/officeDocument/2006/relationships/externalLink" Target="externalLinks/externalLink625.xml"/><Relationship Id="rId1076" Type="http://schemas.openxmlformats.org/officeDocument/2006/relationships/externalLink" Target="externalLinks/externalLink1048.xml"/><Relationship Id="rId306" Type="http://schemas.openxmlformats.org/officeDocument/2006/relationships/externalLink" Target="externalLinks/externalLink278.xml"/><Relationship Id="rId860" Type="http://schemas.openxmlformats.org/officeDocument/2006/relationships/externalLink" Target="externalLinks/externalLink832.xml"/><Relationship Id="rId958" Type="http://schemas.openxmlformats.org/officeDocument/2006/relationships/externalLink" Target="externalLinks/externalLink930.xml"/><Relationship Id="rId87" Type="http://schemas.openxmlformats.org/officeDocument/2006/relationships/externalLink" Target="externalLinks/externalLink59.xml"/><Relationship Id="rId513" Type="http://schemas.openxmlformats.org/officeDocument/2006/relationships/externalLink" Target="externalLinks/externalLink485.xml"/><Relationship Id="rId720" Type="http://schemas.openxmlformats.org/officeDocument/2006/relationships/externalLink" Target="externalLinks/externalLink692.xml"/><Relationship Id="rId818" Type="http://schemas.openxmlformats.org/officeDocument/2006/relationships/externalLink" Target="externalLinks/externalLink790.xml"/><Relationship Id="rId1003" Type="http://schemas.openxmlformats.org/officeDocument/2006/relationships/externalLink" Target="externalLinks/externalLink975.xml"/><Relationship Id="rId14" Type="http://schemas.openxmlformats.org/officeDocument/2006/relationships/worksheet" Target="worksheets/sheet14.xml"/><Relationship Id="rId163" Type="http://schemas.openxmlformats.org/officeDocument/2006/relationships/externalLink" Target="externalLinks/externalLink135.xml"/><Relationship Id="rId370" Type="http://schemas.openxmlformats.org/officeDocument/2006/relationships/externalLink" Target="externalLinks/externalLink342.xml"/><Relationship Id="rId230" Type="http://schemas.openxmlformats.org/officeDocument/2006/relationships/externalLink" Target="externalLinks/externalLink202.xml"/><Relationship Id="rId468" Type="http://schemas.openxmlformats.org/officeDocument/2006/relationships/externalLink" Target="externalLinks/externalLink440.xml"/><Relationship Id="rId675" Type="http://schemas.openxmlformats.org/officeDocument/2006/relationships/externalLink" Target="externalLinks/externalLink647.xml"/><Relationship Id="rId882" Type="http://schemas.openxmlformats.org/officeDocument/2006/relationships/externalLink" Target="externalLinks/externalLink854.xml"/><Relationship Id="rId1098" Type="http://schemas.openxmlformats.org/officeDocument/2006/relationships/externalLink" Target="externalLinks/externalLink1070.xml"/><Relationship Id="rId328" Type="http://schemas.openxmlformats.org/officeDocument/2006/relationships/externalLink" Target="externalLinks/externalLink300.xml"/><Relationship Id="rId535" Type="http://schemas.openxmlformats.org/officeDocument/2006/relationships/externalLink" Target="externalLinks/externalLink507.xml"/><Relationship Id="rId742" Type="http://schemas.openxmlformats.org/officeDocument/2006/relationships/externalLink" Target="externalLinks/externalLink714.xml"/><Relationship Id="rId602" Type="http://schemas.openxmlformats.org/officeDocument/2006/relationships/externalLink" Target="externalLinks/externalLink574.xml"/><Relationship Id="rId1025" Type="http://schemas.openxmlformats.org/officeDocument/2006/relationships/externalLink" Target="externalLinks/externalLink997.xml"/><Relationship Id="rId241" Type="http://schemas.openxmlformats.org/officeDocument/2006/relationships/externalLink" Target="externalLinks/externalLink213.xml"/><Relationship Id="rId479" Type="http://schemas.openxmlformats.org/officeDocument/2006/relationships/externalLink" Target="externalLinks/externalLink451.xml"/><Relationship Id="rId686" Type="http://schemas.openxmlformats.org/officeDocument/2006/relationships/externalLink" Target="externalLinks/externalLink658.xml"/><Relationship Id="rId893" Type="http://schemas.openxmlformats.org/officeDocument/2006/relationships/externalLink" Target="externalLinks/externalLink865.xml"/><Relationship Id="rId907" Type="http://schemas.openxmlformats.org/officeDocument/2006/relationships/externalLink" Target="externalLinks/externalLink879.xml"/><Relationship Id="rId36" Type="http://schemas.openxmlformats.org/officeDocument/2006/relationships/externalLink" Target="externalLinks/externalLink8.xml"/><Relationship Id="rId339" Type="http://schemas.openxmlformats.org/officeDocument/2006/relationships/externalLink" Target="externalLinks/externalLink311.xml"/><Relationship Id="rId546" Type="http://schemas.openxmlformats.org/officeDocument/2006/relationships/externalLink" Target="externalLinks/externalLink518.xml"/><Relationship Id="rId753" Type="http://schemas.openxmlformats.org/officeDocument/2006/relationships/externalLink" Target="externalLinks/externalLink725.xml"/><Relationship Id="rId101" Type="http://schemas.openxmlformats.org/officeDocument/2006/relationships/externalLink" Target="externalLinks/externalLink73.xml"/><Relationship Id="rId185" Type="http://schemas.openxmlformats.org/officeDocument/2006/relationships/externalLink" Target="externalLinks/externalLink157.xml"/><Relationship Id="rId406" Type="http://schemas.openxmlformats.org/officeDocument/2006/relationships/externalLink" Target="externalLinks/externalLink378.xml"/><Relationship Id="rId960" Type="http://schemas.openxmlformats.org/officeDocument/2006/relationships/externalLink" Target="externalLinks/externalLink932.xml"/><Relationship Id="rId1036" Type="http://schemas.openxmlformats.org/officeDocument/2006/relationships/externalLink" Target="externalLinks/externalLink1008.xml"/><Relationship Id="rId392" Type="http://schemas.openxmlformats.org/officeDocument/2006/relationships/externalLink" Target="externalLinks/externalLink364.xml"/><Relationship Id="rId613" Type="http://schemas.openxmlformats.org/officeDocument/2006/relationships/externalLink" Target="externalLinks/externalLink585.xml"/><Relationship Id="rId697" Type="http://schemas.openxmlformats.org/officeDocument/2006/relationships/externalLink" Target="externalLinks/externalLink669.xml"/><Relationship Id="rId820" Type="http://schemas.openxmlformats.org/officeDocument/2006/relationships/externalLink" Target="externalLinks/externalLink792.xml"/><Relationship Id="rId918" Type="http://schemas.openxmlformats.org/officeDocument/2006/relationships/externalLink" Target="externalLinks/externalLink890.xml"/><Relationship Id="rId252" Type="http://schemas.openxmlformats.org/officeDocument/2006/relationships/externalLink" Target="externalLinks/externalLink224.xml"/><Relationship Id="rId1103" Type="http://schemas.openxmlformats.org/officeDocument/2006/relationships/externalLink" Target="externalLinks/externalLink1075.xml"/><Relationship Id="rId47" Type="http://schemas.openxmlformats.org/officeDocument/2006/relationships/externalLink" Target="externalLinks/externalLink19.xml"/><Relationship Id="rId112" Type="http://schemas.openxmlformats.org/officeDocument/2006/relationships/externalLink" Target="externalLinks/externalLink84.xml"/><Relationship Id="rId557" Type="http://schemas.openxmlformats.org/officeDocument/2006/relationships/externalLink" Target="externalLinks/externalLink529.xml"/><Relationship Id="rId764" Type="http://schemas.openxmlformats.org/officeDocument/2006/relationships/externalLink" Target="externalLinks/externalLink736.xml"/><Relationship Id="rId971" Type="http://schemas.openxmlformats.org/officeDocument/2006/relationships/externalLink" Target="externalLinks/externalLink943.xml"/><Relationship Id="rId196" Type="http://schemas.openxmlformats.org/officeDocument/2006/relationships/externalLink" Target="externalLinks/externalLink168.xml"/><Relationship Id="rId417" Type="http://schemas.openxmlformats.org/officeDocument/2006/relationships/externalLink" Target="externalLinks/externalLink389.xml"/><Relationship Id="rId624" Type="http://schemas.openxmlformats.org/officeDocument/2006/relationships/externalLink" Target="externalLinks/externalLink596.xml"/><Relationship Id="rId831" Type="http://schemas.openxmlformats.org/officeDocument/2006/relationships/externalLink" Target="externalLinks/externalLink803.xml"/><Relationship Id="rId1047" Type="http://schemas.openxmlformats.org/officeDocument/2006/relationships/externalLink" Target="externalLinks/externalLink1019.xml"/><Relationship Id="rId263" Type="http://schemas.openxmlformats.org/officeDocument/2006/relationships/externalLink" Target="externalLinks/externalLink235.xml"/><Relationship Id="rId470" Type="http://schemas.openxmlformats.org/officeDocument/2006/relationships/externalLink" Target="externalLinks/externalLink442.xml"/><Relationship Id="rId929" Type="http://schemas.openxmlformats.org/officeDocument/2006/relationships/externalLink" Target="externalLinks/externalLink901.xml"/><Relationship Id="rId1114" Type="http://schemas.openxmlformats.org/officeDocument/2006/relationships/externalLink" Target="externalLinks/externalLink1086.xml"/><Relationship Id="rId58" Type="http://schemas.openxmlformats.org/officeDocument/2006/relationships/externalLink" Target="externalLinks/externalLink30.xml"/><Relationship Id="rId123" Type="http://schemas.openxmlformats.org/officeDocument/2006/relationships/externalLink" Target="externalLinks/externalLink95.xml"/><Relationship Id="rId330" Type="http://schemas.openxmlformats.org/officeDocument/2006/relationships/externalLink" Target="externalLinks/externalLink302.xml"/><Relationship Id="rId568" Type="http://schemas.openxmlformats.org/officeDocument/2006/relationships/externalLink" Target="externalLinks/externalLink540.xml"/><Relationship Id="rId775" Type="http://schemas.openxmlformats.org/officeDocument/2006/relationships/externalLink" Target="externalLinks/externalLink747.xml"/><Relationship Id="rId982" Type="http://schemas.openxmlformats.org/officeDocument/2006/relationships/externalLink" Target="externalLinks/externalLink954.xml"/><Relationship Id="rId428" Type="http://schemas.openxmlformats.org/officeDocument/2006/relationships/externalLink" Target="externalLinks/externalLink400.xml"/><Relationship Id="rId635" Type="http://schemas.openxmlformats.org/officeDocument/2006/relationships/externalLink" Target="externalLinks/externalLink607.xml"/><Relationship Id="rId842" Type="http://schemas.openxmlformats.org/officeDocument/2006/relationships/externalLink" Target="externalLinks/externalLink814.xml"/><Relationship Id="rId1058" Type="http://schemas.openxmlformats.org/officeDocument/2006/relationships/externalLink" Target="externalLinks/externalLink1030.xml"/><Relationship Id="rId274" Type="http://schemas.openxmlformats.org/officeDocument/2006/relationships/externalLink" Target="externalLinks/externalLink246.xml"/><Relationship Id="rId481" Type="http://schemas.openxmlformats.org/officeDocument/2006/relationships/externalLink" Target="externalLinks/externalLink453.xml"/><Relationship Id="rId702" Type="http://schemas.openxmlformats.org/officeDocument/2006/relationships/externalLink" Target="externalLinks/externalLink674.xml"/><Relationship Id="rId1125" Type="http://schemas.openxmlformats.org/officeDocument/2006/relationships/externalLink" Target="externalLinks/externalLink1097.xml"/><Relationship Id="rId69" Type="http://schemas.openxmlformats.org/officeDocument/2006/relationships/externalLink" Target="externalLinks/externalLink41.xml"/><Relationship Id="rId134" Type="http://schemas.openxmlformats.org/officeDocument/2006/relationships/externalLink" Target="externalLinks/externalLink106.xml"/><Relationship Id="rId579" Type="http://schemas.openxmlformats.org/officeDocument/2006/relationships/externalLink" Target="externalLinks/externalLink551.xml"/><Relationship Id="rId786" Type="http://schemas.openxmlformats.org/officeDocument/2006/relationships/externalLink" Target="externalLinks/externalLink758.xml"/><Relationship Id="rId993" Type="http://schemas.openxmlformats.org/officeDocument/2006/relationships/externalLink" Target="externalLinks/externalLink965.xml"/><Relationship Id="rId341" Type="http://schemas.openxmlformats.org/officeDocument/2006/relationships/externalLink" Target="externalLinks/externalLink313.xml"/><Relationship Id="rId439" Type="http://schemas.openxmlformats.org/officeDocument/2006/relationships/externalLink" Target="externalLinks/externalLink411.xml"/><Relationship Id="rId646" Type="http://schemas.openxmlformats.org/officeDocument/2006/relationships/externalLink" Target="externalLinks/externalLink618.xml"/><Relationship Id="rId1069" Type="http://schemas.openxmlformats.org/officeDocument/2006/relationships/externalLink" Target="externalLinks/externalLink1041.xml"/><Relationship Id="rId201" Type="http://schemas.openxmlformats.org/officeDocument/2006/relationships/externalLink" Target="externalLinks/externalLink173.xml"/><Relationship Id="rId285" Type="http://schemas.openxmlformats.org/officeDocument/2006/relationships/externalLink" Target="externalLinks/externalLink257.xml"/><Relationship Id="rId506" Type="http://schemas.openxmlformats.org/officeDocument/2006/relationships/externalLink" Target="externalLinks/externalLink478.xml"/><Relationship Id="rId853" Type="http://schemas.openxmlformats.org/officeDocument/2006/relationships/externalLink" Target="externalLinks/externalLink825.xml"/><Relationship Id="rId492" Type="http://schemas.openxmlformats.org/officeDocument/2006/relationships/externalLink" Target="externalLinks/externalLink464.xml"/><Relationship Id="rId713" Type="http://schemas.openxmlformats.org/officeDocument/2006/relationships/externalLink" Target="externalLinks/externalLink685.xml"/><Relationship Id="rId797" Type="http://schemas.openxmlformats.org/officeDocument/2006/relationships/externalLink" Target="externalLinks/externalLink769.xml"/><Relationship Id="rId920" Type="http://schemas.openxmlformats.org/officeDocument/2006/relationships/externalLink" Target="externalLinks/externalLink892.xml"/><Relationship Id="rId145" Type="http://schemas.openxmlformats.org/officeDocument/2006/relationships/externalLink" Target="externalLinks/externalLink117.xml"/><Relationship Id="rId352" Type="http://schemas.openxmlformats.org/officeDocument/2006/relationships/externalLink" Target="externalLinks/externalLink324.xml"/><Relationship Id="rId212" Type="http://schemas.openxmlformats.org/officeDocument/2006/relationships/externalLink" Target="externalLinks/externalLink184.xml"/><Relationship Id="rId657" Type="http://schemas.openxmlformats.org/officeDocument/2006/relationships/externalLink" Target="externalLinks/externalLink629.xml"/><Relationship Id="rId864" Type="http://schemas.openxmlformats.org/officeDocument/2006/relationships/externalLink" Target="externalLinks/externalLink836.xml"/><Relationship Id="rId296" Type="http://schemas.openxmlformats.org/officeDocument/2006/relationships/externalLink" Target="externalLinks/externalLink268.xml"/><Relationship Id="rId517" Type="http://schemas.openxmlformats.org/officeDocument/2006/relationships/externalLink" Target="externalLinks/externalLink489.xml"/><Relationship Id="rId724" Type="http://schemas.openxmlformats.org/officeDocument/2006/relationships/externalLink" Target="externalLinks/externalLink696.xml"/><Relationship Id="rId931" Type="http://schemas.openxmlformats.org/officeDocument/2006/relationships/externalLink" Target="externalLinks/externalLink903.xml"/><Relationship Id="rId60" Type="http://schemas.openxmlformats.org/officeDocument/2006/relationships/externalLink" Target="externalLinks/externalLink32.xml"/><Relationship Id="rId156" Type="http://schemas.openxmlformats.org/officeDocument/2006/relationships/externalLink" Target="externalLinks/externalLink128.xml"/><Relationship Id="rId363" Type="http://schemas.openxmlformats.org/officeDocument/2006/relationships/externalLink" Target="externalLinks/externalLink335.xml"/><Relationship Id="rId570" Type="http://schemas.openxmlformats.org/officeDocument/2006/relationships/externalLink" Target="externalLinks/externalLink542.xml"/><Relationship Id="rId1007" Type="http://schemas.openxmlformats.org/officeDocument/2006/relationships/externalLink" Target="externalLinks/externalLink979.xml"/><Relationship Id="rId223" Type="http://schemas.openxmlformats.org/officeDocument/2006/relationships/externalLink" Target="externalLinks/externalLink195.xml"/><Relationship Id="rId430" Type="http://schemas.openxmlformats.org/officeDocument/2006/relationships/externalLink" Target="externalLinks/externalLink402.xml"/><Relationship Id="rId668" Type="http://schemas.openxmlformats.org/officeDocument/2006/relationships/externalLink" Target="externalLinks/externalLink640.xml"/><Relationship Id="rId875" Type="http://schemas.openxmlformats.org/officeDocument/2006/relationships/externalLink" Target="externalLinks/externalLink847.xml"/><Relationship Id="rId1060" Type="http://schemas.openxmlformats.org/officeDocument/2006/relationships/externalLink" Target="externalLinks/externalLink1032.xml"/><Relationship Id="rId18" Type="http://schemas.openxmlformats.org/officeDocument/2006/relationships/worksheet" Target="worksheets/sheet18.xml"/><Relationship Id="rId528" Type="http://schemas.openxmlformats.org/officeDocument/2006/relationships/externalLink" Target="externalLinks/externalLink500.xml"/><Relationship Id="rId735" Type="http://schemas.openxmlformats.org/officeDocument/2006/relationships/externalLink" Target="externalLinks/externalLink707.xml"/><Relationship Id="rId942" Type="http://schemas.openxmlformats.org/officeDocument/2006/relationships/externalLink" Target="externalLinks/externalLink914.xml"/><Relationship Id="rId167" Type="http://schemas.openxmlformats.org/officeDocument/2006/relationships/externalLink" Target="externalLinks/externalLink139.xml"/><Relationship Id="rId374" Type="http://schemas.openxmlformats.org/officeDocument/2006/relationships/externalLink" Target="externalLinks/externalLink346.xml"/><Relationship Id="rId581" Type="http://schemas.openxmlformats.org/officeDocument/2006/relationships/externalLink" Target="externalLinks/externalLink553.xml"/><Relationship Id="rId1018" Type="http://schemas.openxmlformats.org/officeDocument/2006/relationships/externalLink" Target="externalLinks/externalLink990.xml"/><Relationship Id="rId71" Type="http://schemas.openxmlformats.org/officeDocument/2006/relationships/externalLink" Target="externalLinks/externalLink43.xml"/><Relationship Id="rId234" Type="http://schemas.openxmlformats.org/officeDocument/2006/relationships/externalLink" Target="externalLinks/externalLink206.xml"/><Relationship Id="rId679" Type="http://schemas.openxmlformats.org/officeDocument/2006/relationships/externalLink" Target="externalLinks/externalLink651.xml"/><Relationship Id="rId802" Type="http://schemas.openxmlformats.org/officeDocument/2006/relationships/externalLink" Target="externalLinks/externalLink774.xml"/><Relationship Id="rId886" Type="http://schemas.openxmlformats.org/officeDocument/2006/relationships/externalLink" Target="externalLinks/externalLink858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.xml"/><Relationship Id="rId441" Type="http://schemas.openxmlformats.org/officeDocument/2006/relationships/externalLink" Target="externalLinks/externalLink413.xml"/><Relationship Id="rId539" Type="http://schemas.openxmlformats.org/officeDocument/2006/relationships/externalLink" Target="externalLinks/externalLink511.xml"/><Relationship Id="rId746" Type="http://schemas.openxmlformats.org/officeDocument/2006/relationships/externalLink" Target="externalLinks/externalLink718.xml"/><Relationship Id="rId1071" Type="http://schemas.openxmlformats.org/officeDocument/2006/relationships/externalLink" Target="externalLinks/externalLink1043.xml"/><Relationship Id="rId178" Type="http://schemas.openxmlformats.org/officeDocument/2006/relationships/externalLink" Target="externalLinks/externalLink150.xml"/><Relationship Id="rId301" Type="http://schemas.openxmlformats.org/officeDocument/2006/relationships/externalLink" Target="externalLinks/externalLink273.xml"/><Relationship Id="rId953" Type="http://schemas.openxmlformats.org/officeDocument/2006/relationships/externalLink" Target="externalLinks/externalLink925.xml"/><Relationship Id="rId1029" Type="http://schemas.openxmlformats.org/officeDocument/2006/relationships/externalLink" Target="externalLinks/externalLink1001.xml"/><Relationship Id="rId82" Type="http://schemas.openxmlformats.org/officeDocument/2006/relationships/externalLink" Target="externalLinks/externalLink54.xml"/><Relationship Id="rId385" Type="http://schemas.openxmlformats.org/officeDocument/2006/relationships/externalLink" Target="externalLinks/externalLink357.xml"/><Relationship Id="rId592" Type="http://schemas.openxmlformats.org/officeDocument/2006/relationships/externalLink" Target="externalLinks/externalLink564.xml"/><Relationship Id="rId606" Type="http://schemas.openxmlformats.org/officeDocument/2006/relationships/externalLink" Target="externalLinks/externalLink578.xml"/><Relationship Id="rId813" Type="http://schemas.openxmlformats.org/officeDocument/2006/relationships/externalLink" Target="externalLinks/externalLink785.xml"/><Relationship Id="rId245" Type="http://schemas.openxmlformats.org/officeDocument/2006/relationships/externalLink" Target="externalLinks/externalLink217.xml"/><Relationship Id="rId452" Type="http://schemas.openxmlformats.org/officeDocument/2006/relationships/externalLink" Target="externalLinks/externalLink424.xml"/><Relationship Id="rId897" Type="http://schemas.openxmlformats.org/officeDocument/2006/relationships/externalLink" Target="externalLinks/externalLink869.xml"/><Relationship Id="rId1082" Type="http://schemas.openxmlformats.org/officeDocument/2006/relationships/externalLink" Target="externalLinks/externalLink1054.xml"/><Relationship Id="rId105" Type="http://schemas.openxmlformats.org/officeDocument/2006/relationships/externalLink" Target="externalLinks/externalLink77.xml"/><Relationship Id="rId312" Type="http://schemas.openxmlformats.org/officeDocument/2006/relationships/externalLink" Target="externalLinks/externalLink284.xml"/><Relationship Id="rId757" Type="http://schemas.openxmlformats.org/officeDocument/2006/relationships/externalLink" Target="externalLinks/externalLink729.xml"/><Relationship Id="rId964" Type="http://schemas.openxmlformats.org/officeDocument/2006/relationships/externalLink" Target="externalLinks/externalLink936.xml"/><Relationship Id="rId93" Type="http://schemas.openxmlformats.org/officeDocument/2006/relationships/externalLink" Target="externalLinks/externalLink65.xml"/><Relationship Id="rId189" Type="http://schemas.openxmlformats.org/officeDocument/2006/relationships/externalLink" Target="externalLinks/externalLink161.xml"/><Relationship Id="rId396" Type="http://schemas.openxmlformats.org/officeDocument/2006/relationships/externalLink" Target="externalLinks/externalLink368.xml"/><Relationship Id="rId617" Type="http://schemas.openxmlformats.org/officeDocument/2006/relationships/externalLink" Target="externalLinks/externalLink589.xml"/><Relationship Id="rId824" Type="http://schemas.openxmlformats.org/officeDocument/2006/relationships/externalLink" Target="externalLinks/externalLink796.xml"/><Relationship Id="rId256" Type="http://schemas.openxmlformats.org/officeDocument/2006/relationships/externalLink" Target="externalLinks/externalLink228.xml"/><Relationship Id="rId463" Type="http://schemas.openxmlformats.org/officeDocument/2006/relationships/externalLink" Target="externalLinks/externalLink435.xml"/><Relationship Id="rId670" Type="http://schemas.openxmlformats.org/officeDocument/2006/relationships/externalLink" Target="externalLinks/externalLink642.xml"/><Relationship Id="rId1093" Type="http://schemas.openxmlformats.org/officeDocument/2006/relationships/externalLink" Target="externalLinks/externalLink1065.xml"/><Relationship Id="rId1107" Type="http://schemas.openxmlformats.org/officeDocument/2006/relationships/externalLink" Target="externalLinks/externalLink1079.xml"/><Relationship Id="rId116" Type="http://schemas.openxmlformats.org/officeDocument/2006/relationships/externalLink" Target="externalLinks/externalLink88.xml"/><Relationship Id="rId323" Type="http://schemas.openxmlformats.org/officeDocument/2006/relationships/externalLink" Target="externalLinks/externalLink295.xml"/><Relationship Id="rId530" Type="http://schemas.openxmlformats.org/officeDocument/2006/relationships/externalLink" Target="externalLinks/externalLink502.xml"/><Relationship Id="rId768" Type="http://schemas.openxmlformats.org/officeDocument/2006/relationships/externalLink" Target="externalLinks/externalLink740.xml"/><Relationship Id="rId975" Type="http://schemas.openxmlformats.org/officeDocument/2006/relationships/externalLink" Target="externalLinks/externalLink947.xml"/><Relationship Id="rId20" Type="http://schemas.openxmlformats.org/officeDocument/2006/relationships/worksheet" Target="worksheets/sheet20.xml"/><Relationship Id="rId628" Type="http://schemas.openxmlformats.org/officeDocument/2006/relationships/externalLink" Target="externalLinks/externalLink600.xml"/><Relationship Id="rId835" Type="http://schemas.openxmlformats.org/officeDocument/2006/relationships/externalLink" Target="externalLinks/externalLink807.xml"/><Relationship Id="rId267" Type="http://schemas.openxmlformats.org/officeDocument/2006/relationships/externalLink" Target="externalLinks/externalLink239.xml"/><Relationship Id="rId474" Type="http://schemas.openxmlformats.org/officeDocument/2006/relationships/externalLink" Target="externalLinks/externalLink446.xml"/><Relationship Id="rId1020" Type="http://schemas.openxmlformats.org/officeDocument/2006/relationships/externalLink" Target="externalLinks/externalLink992.xml"/><Relationship Id="rId1118" Type="http://schemas.openxmlformats.org/officeDocument/2006/relationships/externalLink" Target="externalLinks/externalLink1090.xml"/><Relationship Id="rId127" Type="http://schemas.openxmlformats.org/officeDocument/2006/relationships/externalLink" Target="externalLinks/externalLink99.xml"/><Relationship Id="rId681" Type="http://schemas.openxmlformats.org/officeDocument/2006/relationships/externalLink" Target="externalLinks/externalLink653.xml"/><Relationship Id="rId779" Type="http://schemas.openxmlformats.org/officeDocument/2006/relationships/externalLink" Target="externalLinks/externalLink751.xml"/><Relationship Id="rId902" Type="http://schemas.openxmlformats.org/officeDocument/2006/relationships/externalLink" Target="externalLinks/externalLink874.xml"/><Relationship Id="rId986" Type="http://schemas.openxmlformats.org/officeDocument/2006/relationships/externalLink" Target="externalLinks/externalLink958.xml"/><Relationship Id="rId31" Type="http://schemas.openxmlformats.org/officeDocument/2006/relationships/externalLink" Target="externalLinks/externalLink3.xml"/><Relationship Id="rId334" Type="http://schemas.openxmlformats.org/officeDocument/2006/relationships/externalLink" Target="externalLinks/externalLink306.xml"/><Relationship Id="rId541" Type="http://schemas.openxmlformats.org/officeDocument/2006/relationships/externalLink" Target="externalLinks/externalLink513.xml"/><Relationship Id="rId639" Type="http://schemas.openxmlformats.org/officeDocument/2006/relationships/externalLink" Target="externalLinks/externalLink611.xml"/><Relationship Id="rId180" Type="http://schemas.openxmlformats.org/officeDocument/2006/relationships/externalLink" Target="externalLinks/externalLink152.xml"/><Relationship Id="rId278" Type="http://schemas.openxmlformats.org/officeDocument/2006/relationships/externalLink" Target="externalLinks/externalLink250.xml"/><Relationship Id="rId401" Type="http://schemas.openxmlformats.org/officeDocument/2006/relationships/externalLink" Target="externalLinks/externalLink373.xml"/><Relationship Id="rId846" Type="http://schemas.openxmlformats.org/officeDocument/2006/relationships/externalLink" Target="externalLinks/externalLink818.xml"/><Relationship Id="rId1031" Type="http://schemas.openxmlformats.org/officeDocument/2006/relationships/externalLink" Target="externalLinks/externalLink1003.xml"/><Relationship Id="rId1129" Type="http://schemas.openxmlformats.org/officeDocument/2006/relationships/theme" Target="theme/theme1.xml"/><Relationship Id="rId485" Type="http://schemas.openxmlformats.org/officeDocument/2006/relationships/externalLink" Target="externalLinks/externalLink457.xml"/><Relationship Id="rId692" Type="http://schemas.openxmlformats.org/officeDocument/2006/relationships/externalLink" Target="externalLinks/externalLink664.xml"/><Relationship Id="rId706" Type="http://schemas.openxmlformats.org/officeDocument/2006/relationships/externalLink" Target="externalLinks/externalLink678.xml"/><Relationship Id="rId913" Type="http://schemas.openxmlformats.org/officeDocument/2006/relationships/externalLink" Target="externalLinks/externalLink885.xml"/><Relationship Id="rId42" Type="http://schemas.openxmlformats.org/officeDocument/2006/relationships/externalLink" Target="externalLinks/externalLink14.xml"/><Relationship Id="rId138" Type="http://schemas.openxmlformats.org/officeDocument/2006/relationships/externalLink" Target="externalLinks/externalLink110.xml"/><Relationship Id="rId345" Type="http://schemas.openxmlformats.org/officeDocument/2006/relationships/externalLink" Target="externalLinks/externalLink317.xml"/><Relationship Id="rId552" Type="http://schemas.openxmlformats.org/officeDocument/2006/relationships/externalLink" Target="externalLinks/externalLink524.xml"/><Relationship Id="rId997" Type="http://schemas.openxmlformats.org/officeDocument/2006/relationships/externalLink" Target="externalLinks/externalLink969.xml"/><Relationship Id="rId191" Type="http://schemas.openxmlformats.org/officeDocument/2006/relationships/externalLink" Target="externalLinks/externalLink163.xml"/><Relationship Id="rId205" Type="http://schemas.openxmlformats.org/officeDocument/2006/relationships/externalLink" Target="externalLinks/externalLink177.xml"/><Relationship Id="rId412" Type="http://schemas.openxmlformats.org/officeDocument/2006/relationships/externalLink" Target="externalLinks/externalLink384.xml"/><Relationship Id="rId857" Type="http://schemas.openxmlformats.org/officeDocument/2006/relationships/externalLink" Target="externalLinks/externalLink829.xml"/><Relationship Id="rId1042" Type="http://schemas.openxmlformats.org/officeDocument/2006/relationships/externalLink" Target="externalLinks/externalLink1014.xml"/><Relationship Id="rId289" Type="http://schemas.openxmlformats.org/officeDocument/2006/relationships/externalLink" Target="externalLinks/externalLink261.xml"/><Relationship Id="rId496" Type="http://schemas.openxmlformats.org/officeDocument/2006/relationships/externalLink" Target="externalLinks/externalLink468.xml"/><Relationship Id="rId717" Type="http://schemas.openxmlformats.org/officeDocument/2006/relationships/externalLink" Target="externalLinks/externalLink689.xml"/><Relationship Id="rId924" Type="http://schemas.openxmlformats.org/officeDocument/2006/relationships/externalLink" Target="externalLinks/externalLink896.xml"/><Relationship Id="rId53" Type="http://schemas.openxmlformats.org/officeDocument/2006/relationships/externalLink" Target="externalLinks/externalLink25.xml"/><Relationship Id="rId149" Type="http://schemas.openxmlformats.org/officeDocument/2006/relationships/externalLink" Target="externalLinks/externalLink121.xml"/><Relationship Id="rId356" Type="http://schemas.openxmlformats.org/officeDocument/2006/relationships/externalLink" Target="externalLinks/externalLink328.xml"/><Relationship Id="rId563" Type="http://schemas.openxmlformats.org/officeDocument/2006/relationships/externalLink" Target="externalLinks/externalLink535.xml"/><Relationship Id="rId770" Type="http://schemas.openxmlformats.org/officeDocument/2006/relationships/externalLink" Target="externalLinks/externalLink742.xml"/><Relationship Id="rId216" Type="http://schemas.openxmlformats.org/officeDocument/2006/relationships/externalLink" Target="externalLinks/externalLink188.xml"/><Relationship Id="rId423" Type="http://schemas.openxmlformats.org/officeDocument/2006/relationships/externalLink" Target="externalLinks/externalLink395.xml"/><Relationship Id="rId868" Type="http://schemas.openxmlformats.org/officeDocument/2006/relationships/externalLink" Target="externalLinks/externalLink840.xml"/><Relationship Id="rId1053" Type="http://schemas.openxmlformats.org/officeDocument/2006/relationships/externalLink" Target="externalLinks/externalLink1025.xml"/><Relationship Id="rId630" Type="http://schemas.openxmlformats.org/officeDocument/2006/relationships/externalLink" Target="externalLinks/externalLink602.xml"/><Relationship Id="rId728" Type="http://schemas.openxmlformats.org/officeDocument/2006/relationships/externalLink" Target="externalLinks/externalLink700.xml"/><Relationship Id="rId935" Type="http://schemas.openxmlformats.org/officeDocument/2006/relationships/externalLink" Target="externalLinks/externalLink907.xml"/><Relationship Id="rId64" Type="http://schemas.openxmlformats.org/officeDocument/2006/relationships/externalLink" Target="externalLinks/externalLink36.xml"/><Relationship Id="rId367" Type="http://schemas.openxmlformats.org/officeDocument/2006/relationships/externalLink" Target="externalLinks/externalLink339.xml"/><Relationship Id="rId574" Type="http://schemas.openxmlformats.org/officeDocument/2006/relationships/externalLink" Target="externalLinks/externalLink546.xml"/><Relationship Id="rId1120" Type="http://schemas.openxmlformats.org/officeDocument/2006/relationships/externalLink" Target="externalLinks/externalLink1092.xml"/><Relationship Id="rId227" Type="http://schemas.openxmlformats.org/officeDocument/2006/relationships/externalLink" Target="externalLinks/externalLink199.xml"/><Relationship Id="rId781" Type="http://schemas.openxmlformats.org/officeDocument/2006/relationships/externalLink" Target="externalLinks/externalLink753.xml"/><Relationship Id="rId879" Type="http://schemas.openxmlformats.org/officeDocument/2006/relationships/externalLink" Target="externalLinks/externalLink851.xml"/><Relationship Id="rId434" Type="http://schemas.openxmlformats.org/officeDocument/2006/relationships/externalLink" Target="externalLinks/externalLink406.xml"/><Relationship Id="rId641" Type="http://schemas.openxmlformats.org/officeDocument/2006/relationships/externalLink" Target="externalLinks/externalLink613.xml"/><Relationship Id="rId739" Type="http://schemas.openxmlformats.org/officeDocument/2006/relationships/externalLink" Target="externalLinks/externalLink711.xml"/><Relationship Id="rId1064" Type="http://schemas.openxmlformats.org/officeDocument/2006/relationships/externalLink" Target="externalLinks/externalLink1036.xml"/><Relationship Id="rId280" Type="http://schemas.openxmlformats.org/officeDocument/2006/relationships/externalLink" Target="externalLinks/externalLink252.xml"/><Relationship Id="rId501" Type="http://schemas.openxmlformats.org/officeDocument/2006/relationships/externalLink" Target="externalLinks/externalLink473.xml"/><Relationship Id="rId946" Type="http://schemas.openxmlformats.org/officeDocument/2006/relationships/externalLink" Target="externalLinks/externalLink918.xml"/><Relationship Id="rId1131" Type="http://schemas.openxmlformats.org/officeDocument/2006/relationships/sharedStrings" Target="sharedStrings.xml"/><Relationship Id="rId75" Type="http://schemas.openxmlformats.org/officeDocument/2006/relationships/externalLink" Target="externalLinks/externalLink47.xml"/><Relationship Id="rId140" Type="http://schemas.openxmlformats.org/officeDocument/2006/relationships/externalLink" Target="externalLinks/externalLink112.xml"/><Relationship Id="rId378" Type="http://schemas.openxmlformats.org/officeDocument/2006/relationships/externalLink" Target="externalLinks/externalLink350.xml"/><Relationship Id="rId585" Type="http://schemas.openxmlformats.org/officeDocument/2006/relationships/externalLink" Target="externalLinks/externalLink557.xml"/><Relationship Id="rId792" Type="http://schemas.openxmlformats.org/officeDocument/2006/relationships/externalLink" Target="externalLinks/externalLink764.xml"/><Relationship Id="rId806" Type="http://schemas.openxmlformats.org/officeDocument/2006/relationships/externalLink" Target="externalLinks/externalLink778.xml"/><Relationship Id="rId6" Type="http://schemas.openxmlformats.org/officeDocument/2006/relationships/worksheet" Target="worksheets/sheet6.xml"/><Relationship Id="rId238" Type="http://schemas.openxmlformats.org/officeDocument/2006/relationships/externalLink" Target="externalLinks/externalLink210.xml"/><Relationship Id="rId445" Type="http://schemas.openxmlformats.org/officeDocument/2006/relationships/externalLink" Target="externalLinks/externalLink417.xml"/><Relationship Id="rId652" Type="http://schemas.openxmlformats.org/officeDocument/2006/relationships/externalLink" Target="externalLinks/externalLink624.xml"/><Relationship Id="rId1075" Type="http://schemas.openxmlformats.org/officeDocument/2006/relationships/externalLink" Target="externalLinks/externalLink1047.xml"/><Relationship Id="rId291" Type="http://schemas.openxmlformats.org/officeDocument/2006/relationships/externalLink" Target="externalLinks/externalLink263.xml"/><Relationship Id="rId305" Type="http://schemas.openxmlformats.org/officeDocument/2006/relationships/externalLink" Target="externalLinks/externalLink277.xml"/><Relationship Id="rId512" Type="http://schemas.openxmlformats.org/officeDocument/2006/relationships/externalLink" Target="externalLinks/externalLink484.xml"/><Relationship Id="rId957" Type="http://schemas.openxmlformats.org/officeDocument/2006/relationships/externalLink" Target="externalLinks/externalLink929.xml"/><Relationship Id="rId86" Type="http://schemas.openxmlformats.org/officeDocument/2006/relationships/externalLink" Target="externalLinks/externalLink58.xml"/><Relationship Id="rId151" Type="http://schemas.openxmlformats.org/officeDocument/2006/relationships/externalLink" Target="externalLinks/externalLink123.xml"/><Relationship Id="rId389" Type="http://schemas.openxmlformats.org/officeDocument/2006/relationships/externalLink" Target="externalLinks/externalLink361.xml"/><Relationship Id="rId596" Type="http://schemas.openxmlformats.org/officeDocument/2006/relationships/externalLink" Target="externalLinks/externalLink568.xml"/><Relationship Id="rId817" Type="http://schemas.openxmlformats.org/officeDocument/2006/relationships/externalLink" Target="externalLinks/externalLink789.xml"/><Relationship Id="rId1002" Type="http://schemas.openxmlformats.org/officeDocument/2006/relationships/externalLink" Target="externalLinks/externalLink974.xml"/><Relationship Id="rId249" Type="http://schemas.openxmlformats.org/officeDocument/2006/relationships/externalLink" Target="externalLinks/externalLink221.xml"/><Relationship Id="rId456" Type="http://schemas.openxmlformats.org/officeDocument/2006/relationships/externalLink" Target="externalLinks/externalLink428.xml"/><Relationship Id="rId663" Type="http://schemas.openxmlformats.org/officeDocument/2006/relationships/externalLink" Target="externalLinks/externalLink635.xml"/><Relationship Id="rId870" Type="http://schemas.openxmlformats.org/officeDocument/2006/relationships/externalLink" Target="externalLinks/externalLink842.xml"/><Relationship Id="rId1086" Type="http://schemas.openxmlformats.org/officeDocument/2006/relationships/externalLink" Target="externalLinks/externalLink1058.xml"/><Relationship Id="rId13" Type="http://schemas.openxmlformats.org/officeDocument/2006/relationships/worksheet" Target="worksheets/sheet13.xml"/><Relationship Id="rId109" Type="http://schemas.openxmlformats.org/officeDocument/2006/relationships/externalLink" Target="externalLinks/externalLink81.xml"/><Relationship Id="rId316" Type="http://schemas.openxmlformats.org/officeDocument/2006/relationships/externalLink" Target="externalLinks/externalLink288.xml"/><Relationship Id="rId523" Type="http://schemas.openxmlformats.org/officeDocument/2006/relationships/externalLink" Target="externalLinks/externalLink495.xml"/><Relationship Id="rId968" Type="http://schemas.openxmlformats.org/officeDocument/2006/relationships/externalLink" Target="externalLinks/externalLink940.xml"/><Relationship Id="rId97" Type="http://schemas.openxmlformats.org/officeDocument/2006/relationships/externalLink" Target="externalLinks/externalLink69.xml"/><Relationship Id="rId730" Type="http://schemas.openxmlformats.org/officeDocument/2006/relationships/externalLink" Target="externalLinks/externalLink702.xml"/><Relationship Id="rId828" Type="http://schemas.openxmlformats.org/officeDocument/2006/relationships/externalLink" Target="externalLinks/externalLink800.xml"/><Relationship Id="rId1013" Type="http://schemas.openxmlformats.org/officeDocument/2006/relationships/externalLink" Target="externalLinks/externalLink985.xml"/><Relationship Id="rId162" Type="http://schemas.openxmlformats.org/officeDocument/2006/relationships/externalLink" Target="externalLinks/externalLink134.xml"/><Relationship Id="rId467" Type="http://schemas.openxmlformats.org/officeDocument/2006/relationships/externalLink" Target="externalLinks/externalLink439.xml"/><Relationship Id="rId1097" Type="http://schemas.openxmlformats.org/officeDocument/2006/relationships/externalLink" Target="externalLinks/externalLink1069.xml"/><Relationship Id="rId674" Type="http://schemas.openxmlformats.org/officeDocument/2006/relationships/externalLink" Target="externalLinks/externalLink646.xml"/><Relationship Id="rId881" Type="http://schemas.openxmlformats.org/officeDocument/2006/relationships/externalLink" Target="externalLinks/externalLink853.xml"/><Relationship Id="rId979" Type="http://schemas.openxmlformats.org/officeDocument/2006/relationships/externalLink" Target="externalLinks/externalLink951.xml"/><Relationship Id="rId24" Type="http://schemas.openxmlformats.org/officeDocument/2006/relationships/worksheet" Target="worksheets/sheet24.xml"/><Relationship Id="rId327" Type="http://schemas.openxmlformats.org/officeDocument/2006/relationships/externalLink" Target="externalLinks/externalLink299.xml"/><Relationship Id="rId534" Type="http://schemas.openxmlformats.org/officeDocument/2006/relationships/externalLink" Target="externalLinks/externalLink506.xml"/><Relationship Id="rId741" Type="http://schemas.openxmlformats.org/officeDocument/2006/relationships/externalLink" Target="externalLinks/externalLink713.xml"/><Relationship Id="rId839" Type="http://schemas.openxmlformats.org/officeDocument/2006/relationships/externalLink" Target="externalLinks/externalLink811.xml"/><Relationship Id="rId173" Type="http://schemas.openxmlformats.org/officeDocument/2006/relationships/externalLink" Target="externalLinks/externalLink145.xml"/><Relationship Id="rId380" Type="http://schemas.openxmlformats.org/officeDocument/2006/relationships/externalLink" Target="externalLinks/externalLink352.xml"/><Relationship Id="rId601" Type="http://schemas.openxmlformats.org/officeDocument/2006/relationships/externalLink" Target="externalLinks/externalLink573.xml"/><Relationship Id="rId1024" Type="http://schemas.openxmlformats.org/officeDocument/2006/relationships/externalLink" Target="externalLinks/externalLink996.xml"/><Relationship Id="rId240" Type="http://schemas.openxmlformats.org/officeDocument/2006/relationships/externalLink" Target="externalLinks/externalLink212.xml"/><Relationship Id="rId478" Type="http://schemas.openxmlformats.org/officeDocument/2006/relationships/externalLink" Target="externalLinks/externalLink450.xml"/><Relationship Id="rId685" Type="http://schemas.openxmlformats.org/officeDocument/2006/relationships/externalLink" Target="externalLinks/externalLink657.xml"/><Relationship Id="rId892" Type="http://schemas.openxmlformats.org/officeDocument/2006/relationships/externalLink" Target="externalLinks/externalLink864.xml"/><Relationship Id="rId906" Type="http://schemas.openxmlformats.org/officeDocument/2006/relationships/externalLink" Target="externalLinks/externalLink878.xml"/><Relationship Id="rId35" Type="http://schemas.openxmlformats.org/officeDocument/2006/relationships/externalLink" Target="externalLinks/externalLink7.xml"/><Relationship Id="rId100" Type="http://schemas.openxmlformats.org/officeDocument/2006/relationships/externalLink" Target="externalLinks/externalLink72.xml"/><Relationship Id="rId338" Type="http://schemas.openxmlformats.org/officeDocument/2006/relationships/externalLink" Target="externalLinks/externalLink310.xml"/><Relationship Id="rId545" Type="http://schemas.openxmlformats.org/officeDocument/2006/relationships/externalLink" Target="externalLinks/externalLink517.xml"/><Relationship Id="rId752" Type="http://schemas.openxmlformats.org/officeDocument/2006/relationships/externalLink" Target="externalLinks/externalLink724.xml"/><Relationship Id="rId184" Type="http://schemas.openxmlformats.org/officeDocument/2006/relationships/externalLink" Target="externalLinks/externalLink156.xml"/><Relationship Id="rId391" Type="http://schemas.openxmlformats.org/officeDocument/2006/relationships/externalLink" Target="externalLinks/externalLink363.xml"/><Relationship Id="rId405" Type="http://schemas.openxmlformats.org/officeDocument/2006/relationships/externalLink" Target="externalLinks/externalLink377.xml"/><Relationship Id="rId612" Type="http://schemas.openxmlformats.org/officeDocument/2006/relationships/externalLink" Target="externalLinks/externalLink584.xml"/><Relationship Id="rId1035" Type="http://schemas.openxmlformats.org/officeDocument/2006/relationships/externalLink" Target="externalLinks/externalLink1007.xml"/><Relationship Id="rId251" Type="http://schemas.openxmlformats.org/officeDocument/2006/relationships/externalLink" Target="externalLinks/externalLink223.xml"/><Relationship Id="rId489" Type="http://schemas.openxmlformats.org/officeDocument/2006/relationships/externalLink" Target="externalLinks/externalLink461.xml"/><Relationship Id="rId696" Type="http://schemas.openxmlformats.org/officeDocument/2006/relationships/externalLink" Target="externalLinks/externalLink668.xml"/><Relationship Id="rId917" Type="http://schemas.openxmlformats.org/officeDocument/2006/relationships/externalLink" Target="externalLinks/externalLink889.xml"/><Relationship Id="rId1102" Type="http://schemas.openxmlformats.org/officeDocument/2006/relationships/externalLink" Target="externalLinks/externalLink1074.xml"/><Relationship Id="rId46" Type="http://schemas.openxmlformats.org/officeDocument/2006/relationships/externalLink" Target="externalLinks/externalLink18.xml"/><Relationship Id="rId349" Type="http://schemas.openxmlformats.org/officeDocument/2006/relationships/externalLink" Target="externalLinks/externalLink321.xml"/><Relationship Id="rId556" Type="http://schemas.openxmlformats.org/officeDocument/2006/relationships/externalLink" Target="externalLinks/externalLink528.xml"/><Relationship Id="rId763" Type="http://schemas.openxmlformats.org/officeDocument/2006/relationships/externalLink" Target="externalLinks/externalLink735.xml"/><Relationship Id="rId111" Type="http://schemas.openxmlformats.org/officeDocument/2006/relationships/externalLink" Target="externalLinks/externalLink83.xml"/><Relationship Id="rId195" Type="http://schemas.openxmlformats.org/officeDocument/2006/relationships/externalLink" Target="externalLinks/externalLink167.xml"/><Relationship Id="rId209" Type="http://schemas.openxmlformats.org/officeDocument/2006/relationships/externalLink" Target="externalLinks/externalLink181.xml"/><Relationship Id="rId416" Type="http://schemas.openxmlformats.org/officeDocument/2006/relationships/externalLink" Target="externalLinks/externalLink388.xml"/><Relationship Id="rId970" Type="http://schemas.openxmlformats.org/officeDocument/2006/relationships/externalLink" Target="externalLinks/externalLink942.xml"/><Relationship Id="rId1046" Type="http://schemas.openxmlformats.org/officeDocument/2006/relationships/externalLink" Target="externalLinks/externalLink1018.xml"/><Relationship Id="rId623" Type="http://schemas.openxmlformats.org/officeDocument/2006/relationships/externalLink" Target="externalLinks/externalLink595.xml"/><Relationship Id="rId830" Type="http://schemas.openxmlformats.org/officeDocument/2006/relationships/externalLink" Target="externalLinks/externalLink802.xml"/><Relationship Id="rId928" Type="http://schemas.openxmlformats.org/officeDocument/2006/relationships/externalLink" Target="externalLinks/externalLink900.xml"/><Relationship Id="rId57" Type="http://schemas.openxmlformats.org/officeDocument/2006/relationships/externalLink" Target="externalLinks/externalLink29.xml"/><Relationship Id="rId262" Type="http://schemas.openxmlformats.org/officeDocument/2006/relationships/externalLink" Target="externalLinks/externalLink234.xml"/><Relationship Id="rId567" Type="http://schemas.openxmlformats.org/officeDocument/2006/relationships/externalLink" Target="externalLinks/externalLink539.xml"/><Relationship Id="rId1113" Type="http://schemas.openxmlformats.org/officeDocument/2006/relationships/externalLink" Target="externalLinks/externalLink1085.xml"/><Relationship Id="rId122" Type="http://schemas.openxmlformats.org/officeDocument/2006/relationships/externalLink" Target="externalLinks/externalLink94.xml"/><Relationship Id="rId774" Type="http://schemas.openxmlformats.org/officeDocument/2006/relationships/externalLink" Target="externalLinks/externalLink746.xml"/><Relationship Id="rId981" Type="http://schemas.openxmlformats.org/officeDocument/2006/relationships/externalLink" Target="externalLinks/externalLink953.xml"/><Relationship Id="rId1057" Type="http://schemas.openxmlformats.org/officeDocument/2006/relationships/externalLink" Target="externalLinks/externalLink1029.xml"/><Relationship Id="rId427" Type="http://schemas.openxmlformats.org/officeDocument/2006/relationships/externalLink" Target="externalLinks/externalLink399.xml"/><Relationship Id="rId634" Type="http://schemas.openxmlformats.org/officeDocument/2006/relationships/externalLink" Target="externalLinks/externalLink606.xml"/><Relationship Id="rId841" Type="http://schemas.openxmlformats.org/officeDocument/2006/relationships/externalLink" Target="externalLinks/externalLink813.xml"/><Relationship Id="rId273" Type="http://schemas.openxmlformats.org/officeDocument/2006/relationships/externalLink" Target="externalLinks/externalLink245.xml"/><Relationship Id="rId480" Type="http://schemas.openxmlformats.org/officeDocument/2006/relationships/externalLink" Target="externalLinks/externalLink452.xml"/><Relationship Id="rId701" Type="http://schemas.openxmlformats.org/officeDocument/2006/relationships/externalLink" Target="externalLinks/externalLink673.xml"/><Relationship Id="rId939" Type="http://schemas.openxmlformats.org/officeDocument/2006/relationships/externalLink" Target="externalLinks/externalLink911.xml"/><Relationship Id="rId1124" Type="http://schemas.openxmlformats.org/officeDocument/2006/relationships/externalLink" Target="externalLinks/externalLink1096.xml"/><Relationship Id="rId68" Type="http://schemas.openxmlformats.org/officeDocument/2006/relationships/externalLink" Target="externalLinks/externalLink40.xml"/><Relationship Id="rId133" Type="http://schemas.openxmlformats.org/officeDocument/2006/relationships/externalLink" Target="externalLinks/externalLink105.xml"/><Relationship Id="rId340" Type="http://schemas.openxmlformats.org/officeDocument/2006/relationships/externalLink" Target="externalLinks/externalLink312.xml"/><Relationship Id="rId578" Type="http://schemas.openxmlformats.org/officeDocument/2006/relationships/externalLink" Target="externalLinks/externalLink550.xml"/><Relationship Id="rId785" Type="http://schemas.openxmlformats.org/officeDocument/2006/relationships/externalLink" Target="externalLinks/externalLink757.xml"/><Relationship Id="rId992" Type="http://schemas.openxmlformats.org/officeDocument/2006/relationships/externalLink" Target="externalLinks/externalLink964.xml"/><Relationship Id="rId200" Type="http://schemas.openxmlformats.org/officeDocument/2006/relationships/externalLink" Target="externalLinks/externalLink172.xml"/><Relationship Id="rId438" Type="http://schemas.openxmlformats.org/officeDocument/2006/relationships/externalLink" Target="externalLinks/externalLink410.xml"/><Relationship Id="rId645" Type="http://schemas.openxmlformats.org/officeDocument/2006/relationships/externalLink" Target="externalLinks/externalLink617.xml"/><Relationship Id="rId852" Type="http://schemas.openxmlformats.org/officeDocument/2006/relationships/externalLink" Target="externalLinks/externalLink824.xml"/><Relationship Id="rId1068" Type="http://schemas.openxmlformats.org/officeDocument/2006/relationships/externalLink" Target="externalLinks/externalLink1040.xml"/><Relationship Id="rId284" Type="http://schemas.openxmlformats.org/officeDocument/2006/relationships/externalLink" Target="externalLinks/externalLink256.xml"/><Relationship Id="rId491" Type="http://schemas.openxmlformats.org/officeDocument/2006/relationships/externalLink" Target="externalLinks/externalLink463.xml"/><Relationship Id="rId505" Type="http://schemas.openxmlformats.org/officeDocument/2006/relationships/externalLink" Target="externalLinks/externalLink477.xml"/><Relationship Id="rId712" Type="http://schemas.openxmlformats.org/officeDocument/2006/relationships/externalLink" Target="externalLinks/externalLink684.xml"/><Relationship Id="rId1135" Type="http://schemas.openxmlformats.org/officeDocument/2006/relationships/customXml" Target="../customXml/item3.xml"/><Relationship Id="rId79" Type="http://schemas.openxmlformats.org/officeDocument/2006/relationships/externalLink" Target="externalLinks/externalLink51.xml"/><Relationship Id="rId144" Type="http://schemas.openxmlformats.org/officeDocument/2006/relationships/externalLink" Target="externalLinks/externalLink116.xml"/><Relationship Id="rId589" Type="http://schemas.openxmlformats.org/officeDocument/2006/relationships/externalLink" Target="externalLinks/externalLink561.xml"/><Relationship Id="rId796" Type="http://schemas.openxmlformats.org/officeDocument/2006/relationships/externalLink" Target="externalLinks/externalLink768.xml"/><Relationship Id="rId351" Type="http://schemas.openxmlformats.org/officeDocument/2006/relationships/externalLink" Target="externalLinks/externalLink323.xml"/><Relationship Id="rId449" Type="http://schemas.openxmlformats.org/officeDocument/2006/relationships/externalLink" Target="externalLinks/externalLink421.xml"/><Relationship Id="rId656" Type="http://schemas.openxmlformats.org/officeDocument/2006/relationships/externalLink" Target="externalLinks/externalLink628.xml"/><Relationship Id="rId863" Type="http://schemas.openxmlformats.org/officeDocument/2006/relationships/externalLink" Target="externalLinks/externalLink835.xml"/><Relationship Id="rId1079" Type="http://schemas.openxmlformats.org/officeDocument/2006/relationships/externalLink" Target="externalLinks/externalLink1051.xml"/><Relationship Id="rId211" Type="http://schemas.openxmlformats.org/officeDocument/2006/relationships/externalLink" Target="externalLinks/externalLink183.xml"/><Relationship Id="rId295" Type="http://schemas.openxmlformats.org/officeDocument/2006/relationships/externalLink" Target="externalLinks/externalLink267.xml"/><Relationship Id="rId309" Type="http://schemas.openxmlformats.org/officeDocument/2006/relationships/externalLink" Target="externalLinks/externalLink281.xml"/><Relationship Id="rId516" Type="http://schemas.openxmlformats.org/officeDocument/2006/relationships/externalLink" Target="externalLinks/externalLink488.xml"/><Relationship Id="rId723" Type="http://schemas.openxmlformats.org/officeDocument/2006/relationships/externalLink" Target="externalLinks/externalLink695.xml"/><Relationship Id="rId930" Type="http://schemas.openxmlformats.org/officeDocument/2006/relationships/externalLink" Target="externalLinks/externalLink902.xml"/><Relationship Id="rId1006" Type="http://schemas.openxmlformats.org/officeDocument/2006/relationships/externalLink" Target="externalLinks/externalLink978.xml"/><Relationship Id="rId155" Type="http://schemas.openxmlformats.org/officeDocument/2006/relationships/externalLink" Target="externalLinks/externalLink127.xml"/><Relationship Id="rId362" Type="http://schemas.openxmlformats.org/officeDocument/2006/relationships/externalLink" Target="externalLinks/externalLink334.xml"/><Relationship Id="rId222" Type="http://schemas.openxmlformats.org/officeDocument/2006/relationships/externalLink" Target="externalLinks/externalLink194.xml"/><Relationship Id="rId667" Type="http://schemas.openxmlformats.org/officeDocument/2006/relationships/externalLink" Target="externalLinks/externalLink639.xml"/><Relationship Id="rId874" Type="http://schemas.openxmlformats.org/officeDocument/2006/relationships/externalLink" Target="externalLinks/externalLink846.xml"/><Relationship Id="rId17" Type="http://schemas.openxmlformats.org/officeDocument/2006/relationships/worksheet" Target="worksheets/sheet17.xml"/><Relationship Id="rId527" Type="http://schemas.openxmlformats.org/officeDocument/2006/relationships/externalLink" Target="externalLinks/externalLink499.xml"/><Relationship Id="rId734" Type="http://schemas.openxmlformats.org/officeDocument/2006/relationships/externalLink" Target="externalLinks/externalLink706.xml"/><Relationship Id="rId941" Type="http://schemas.openxmlformats.org/officeDocument/2006/relationships/externalLink" Target="externalLinks/externalLink913.xml"/><Relationship Id="rId70" Type="http://schemas.openxmlformats.org/officeDocument/2006/relationships/externalLink" Target="externalLinks/externalLink42.xml"/><Relationship Id="rId166" Type="http://schemas.openxmlformats.org/officeDocument/2006/relationships/externalLink" Target="externalLinks/externalLink138.xml"/><Relationship Id="rId373" Type="http://schemas.openxmlformats.org/officeDocument/2006/relationships/externalLink" Target="externalLinks/externalLink345.xml"/><Relationship Id="rId580" Type="http://schemas.openxmlformats.org/officeDocument/2006/relationships/externalLink" Target="externalLinks/externalLink552.xml"/><Relationship Id="rId801" Type="http://schemas.openxmlformats.org/officeDocument/2006/relationships/externalLink" Target="externalLinks/externalLink773.xml"/><Relationship Id="rId1017" Type="http://schemas.openxmlformats.org/officeDocument/2006/relationships/externalLink" Target="externalLinks/externalLink989.xml"/><Relationship Id="rId1" Type="http://schemas.openxmlformats.org/officeDocument/2006/relationships/worksheet" Target="worksheets/sheet1.xml"/><Relationship Id="rId233" Type="http://schemas.openxmlformats.org/officeDocument/2006/relationships/externalLink" Target="externalLinks/externalLink205.xml"/><Relationship Id="rId440" Type="http://schemas.openxmlformats.org/officeDocument/2006/relationships/externalLink" Target="externalLinks/externalLink412.xml"/><Relationship Id="rId678" Type="http://schemas.openxmlformats.org/officeDocument/2006/relationships/externalLink" Target="externalLinks/externalLink650.xml"/><Relationship Id="rId885" Type="http://schemas.openxmlformats.org/officeDocument/2006/relationships/externalLink" Target="externalLinks/externalLink857.xml"/><Relationship Id="rId1070" Type="http://schemas.openxmlformats.org/officeDocument/2006/relationships/externalLink" Target="externalLinks/externalLink1042.xml"/><Relationship Id="rId28" Type="http://schemas.openxmlformats.org/officeDocument/2006/relationships/worksheet" Target="worksheets/sheet28.xml"/><Relationship Id="rId300" Type="http://schemas.openxmlformats.org/officeDocument/2006/relationships/externalLink" Target="externalLinks/externalLink272.xml"/><Relationship Id="rId538" Type="http://schemas.openxmlformats.org/officeDocument/2006/relationships/externalLink" Target="externalLinks/externalLink510.xml"/><Relationship Id="rId745" Type="http://schemas.openxmlformats.org/officeDocument/2006/relationships/externalLink" Target="externalLinks/externalLink717.xml"/><Relationship Id="rId952" Type="http://schemas.openxmlformats.org/officeDocument/2006/relationships/externalLink" Target="externalLinks/externalLink924.xml"/><Relationship Id="rId81" Type="http://schemas.openxmlformats.org/officeDocument/2006/relationships/externalLink" Target="externalLinks/externalLink53.xml"/><Relationship Id="rId177" Type="http://schemas.openxmlformats.org/officeDocument/2006/relationships/externalLink" Target="externalLinks/externalLink149.xml"/><Relationship Id="rId384" Type="http://schemas.openxmlformats.org/officeDocument/2006/relationships/externalLink" Target="externalLinks/externalLink356.xml"/><Relationship Id="rId591" Type="http://schemas.openxmlformats.org/officeDocument/2006/relationships/externalLink" Target="externalLinks/externalLink563.xml"/><Relationship Id="rId605" Type="http://schemas.openxmlformats.org/officeDocument/2006/relationships/externalLink" Target="externalLinks/externalLink577.xml"/><Relationship Id="rId812" Type="http://schemas.openxmlformats.org/officeDocument/2006/relationships/externalLink" Target="externalLinks/externalLink784.xml"/><Relationship Id="rId1028" Type="http://schemas.openxmlformats.org/officeDocument/2006/relationships/externalLink" Target="externalLinks/externalLink1000.xml"/><Relationship Id="rId244" Type="http://schemas.openxmlformats.org/officeDocument/2006/relationships/externalLink" Target="externalLinks/externalLink216.xml"/><Relationship Id="rId689" Type="http://schemas.openxmlformats.org/officeDocument/2006/relationships/externalLink" Target="externalLinks/externalLink661.xml"/><Relationship Id="rId896" Type="http://schemas.openxmlformats.org/officeDocument/2006/relationships/externalLink" Target="externalLinks/externalLink868.xml"/><Relationship Id="rId1081" Type="http://schemas.openxmlformats.org/officeDocument/2006/relationships/externalLink" Target="externalLinks/externalLink1053.xml"/><Relationship Id="rId39" Type="http://schemas.openxmlformats.org/officeDocument/2006/relationships/externalLink" Target="externalLinks/externalLink11.xml"/><Relationship Id="rId451" Type="http://schemas.openxmlformats.org/officeDocument/2006/relationships/externalLink" Target="externalLinks/externalLink423.xml"/><Relationship Id="rId549" Type="http://schemas.openxmlformats.org/officeDocument/2006/relationships/externalLink" Target="externalLinks/externalLink521.xml"/><Relationship Id="rId756" Type="http://schemas.openxmlformats.org/officeDocument/2006/relationships/externalLink" Target="externalLinks/externalLink728.xml"/><Relationship Id="rId104" Type="http://schemas.openxmlformats.org/officeDocument/2006/relationships/externalLink" Target="externalLinks/externalLink76.xml"/><Relationship Id="rId188" Type="http://schemas.openxmlformats.org/officeDocument/2006/relationships/externalLink" Target="externalLinks/externalLink160.xml"/><Relationship Id="rId311" Type="http://schemas.openxmlformats.org/officeDocument/2006/relationships/externalLink" Target="externalLinks/externalLink283.xml"/><Relationship Id="rId395" Type="http://schemas.openxmlformats.org/officeDocument/2006/relationships/externalLink" Target="externalLinks/externalLink367.xml"/><Relationship Id="rId409" Type="http://schemas.openxmlformats.org/officeDocument/2006/relationships/externalLink" Target="externalLinks/externalLink381.xml"/><Relationship Id="rId963" Type="http://schemas.openxmlformats.org/officeDocument/2006/relationships/externalLink" Target="externalLinks/externalLink935.xml"/><Relationship Id="rId1039" Type="http://schemas.openxmlformats.org/officeDocument/2006/relationships/externalLink" Target="externalLinks/externalLink1011.xml"/><Relationship Id="rId92" Type="http://schemas.openxmlformats.org/officeDocument/2006/relationships/externalLink" Target="externalLinks/externalLink64.xml"/><Relationship Id="rId616" Type="http://schemas.openxmlformats.org/officeDocument/2006/relationships/externalLink" Target="externalLinks/externalLink588.xml"/><Relationship Id="rId823" Type="http://schemas.openxmlformats.org/officeDocument/2006/relationships/externalLink" Target="externalLinks/externalLink795.xml"/><Relationship Id="rId255" Type="http://schemas.openxmlformats.org/officeDocument/2006/relationships/externalLink" Target="externalLinks/externalLink227.xml"/><Relationship Id="rId462" Type="http://schemas.openxmlformats.org/officeDocument/2006/relationships/externalLink" Target="externalLinks/externalLink434.xml"/><Relationship Id="rId1092" Type="http://schemas.openxmlformats.org/officeDocument/2006/relationships/externalLink" Target="externalLinks/externalLink1064.xml"/><Relationship Id="rId1106" Type="http://schemas.openxmlformats.org/officeDocument/2006/relationships/externalLink" Target="externalLinks/externalLink1078.xml"/><Relationship Id="rId115" Type="http://schemas.openxmlformats.org/officeDocument/2006/relationships/externalLink" Target="externalLinks/externalLink87.xml"/><Relationship Id="rId322" Type="http://schemas.openxmlformats.org/officeDocument/2006/relationships/externalLink" Target="externalLinks/externalLink294.xml"/><Relationship Id="rId767" Type="http://schemas.openxmlformats.org/officeDocument/2006/relationships/externalLink" Target="externalLinks/externalLink739.xml"/><Relationship Id="rId974" Type="http://schemas.openxmlformats.org/officeDocument/2006/relationships/externalLink" Target="externalLinks/externalLink946.xml"/><Relationship Id="rId199" Type="http://schemas.openxmlformats.org/officeDocument/2006/relationships/externalLink" Target="externalLinks/externalLink171.xml"/><Relationship Id="rId627" Type="http://schemas.openxmlformats.org/officeDocument/2006/relationships/externalLink" Target="externalLinks/externalLink599.xml"/><Relationship Id="rId834" Type="http://schemas.openxmlformats.org/officeDocument/2006/relationships/externalLink" Target="externalLinks/externalLink806.xml"/><Relationship Id="rId266" Type="http://schemas.openxmlformats.org/officeDocument/2006/relationships/externalLink" Target="externalLinks/externalLink238.xml"/><Relationship Id="rId473" Type="http://schemas.openxmlformats.org/officeDocument/2006/relationships/externalLink" Target="externalLinks/externalLink445.xml"/><Relationship Id="rId680" Type="http://schemas.openxmlformats.org/officeDocument/2006/relationships/externalLink" Target="externalLinks/externalLink652.xml"/><Relationship Id="rId901" Type="http://schemas.openxmlformats.org/officeDocument/2006/relationships/externalLink" Target="externalLinks/externalLink873.xml"/><Relationship Id="rId1117" Type="http://schemas.openxmlformats.org/officeDocument/2006/relationships/externalLink" Target="externalLinks/externalLink1089.xml"/><Relationship Id="rId30" Type="http://schemas.openxmlformats.org/officeDocument/2006/relationships/externalLink" Target="externalLinks/externalLink2.xml"/><Relationship Id="rId126" Type="http://schemas.openxmlformats.org/officeDocument/2006/relationships/externalLink" Target="externalLinks/externalLink98.xml"/><Relationship Id="rId333" Type="http://schemas.openxmlformats.org/officeDocument/2006/relationships/externalLink" Target="externalLinks/externalLink305.xml"/><Relationship Id="rId540" Type="http://schemas.openxmlformats.org/officeDocument/2006/relationships/externalLink" Target="externalLinks/externalLink512.xml"/><Relationship Id="rId778" Type="http://schemas.openxmlformats.org/officeDocument/2006/relationships/externalLink" Target="externalLinks/externalLink750.xml"/><Relationship Id="rId985" Type="http://schemas.openxmlformats.org/officeDocument/2006/relationships/externalLink" Target="externalLinks/externalLink957.xml"/><Relationship Id="rId638" Type="http://schemas.openxmlformats.org/officeDocument/2006/relationships/externalLink" Target="externalLinks/externalLink610.xml"/><Relationship Id="rId845" Type="http://schemas.openxmlformats.org/officeDocument/2006/relationships/externalLink" Target="externalLinks/externalLink817.xml"/><Relationship Id="rId1030" Type="http://schemas.openxmlformats.org/officeDocument/2006/relationships/externalLink" Target="externalLinks/externalLink1002.xml"/><Relationship Id="rId277" Type="http://schemas.openxmlformats.org/officeDocument/2006/relationships/externalLink" Target="externalLinks/externalLink249.xml"/><Relationship Id="rId400" Type="http://schemas.openxmlformats.org/officeDocument/2006/relationships/externalLink" Target="externalLinks/externalLink372.xml"/><Relationship Id="rId484" Type="http://schemas.openxmlformats.org/officeDocument/2006/relationships/externalLink" Target="externalLinks/externalLink456.xml"/><Relationship Id="rId705" Type="http://schemas.openxmlformats.org/officeDocument/2006/relationships/externalLink" Target="externalLinks/externalLink677.xml"/><Relationship Id="rId1128" Type="http://schemas.openxmlformats.org/officeDocument/2006/relationships/externalLink" Target="externalLinks/externalLink1100.xml"/><Relationship Id="rId137" Type="http://schemas.openxmlformats.org/officeDocument/2006/relationships/externalLink" Target="externalLinks/externalLink109.xml"/><Relationship Id="rId344" Type="http://schemas.openxmlformats.org/officeDocument/2006/relationships/externalLink" Target="externalLinks/externalLink316.xml"/><Relationship Id="rId691" Type="http://schemas.openxmlformats.org/officeDocument/2006/relationships/externalLink" Target="externalLinks/externalLink663.xml"/><Relationship Id="rId789" Type="http://schemas.openxmlformats.org/officeDocument/2006/relationships/externalLink" Target="externalLinks/externalLink761.xml"/><Relationship Id="rId912" Type="http://schemas.openxmlformats.org/officeDocument/2006/relationships/externalLink" Target="externalLinks/externalLink884.xml"/><Relationship Id="rId996" Type="http://schemas.openxmlformats.org/officeDocument/2006/relationships/externalLink" Target="externalLinks/externalLink968.xml"/><Relationship Id="rId41" Type="http://schemas.openxmlformats.org/officeDocument/2006/relationships/externalLink" Target="externalLinks/externalLink13.xml"/><Relationship Id="rId551" Type="http://schemas.openxmlformats.org/officeDocument/2006/relationships/externalLink" Target="externalLinks/externalLink523.xml"/><Relationship Id="rId649" Type="http://schemas.openxmlformats.org/officeDocument/2006/relationships/externalLink" Target="externalLinks/externalLink621.xml"/><Relationship Id="rId856" Type="http://schemas.openxmlformats.org/officeDocument/2006/relationships/externalLink" Target="externalLinks/externalLink828.xml"/><Relationship Id="rId190" Type="http://schemas.openxmlformats.org/officeDocument/2006/relationships/externalLink" Target="externalLinks/externalLink162.xml"/><Relationship Id="rId204" Type="http://schemas.openxmlformats.org/officeDocument/2006/relationships/externalLink" Target="externalLinks/externalLink176.xml"/><Relationship Id="rId288" Type="http://schemas.openxmlformats.org/officeDocument/2006/relationships/externalLink" Target="externalLinks/externalLink260.xml"/><Relationship Id="rId411" Type="http://schemas.openxmlformats.org/officeDocument/2006/relationships/externalLink" Target="externalLinks/externalLink383.xml"/><Relationship Id="rId509" Type="http://schemas.openxmlformats.org/officeDocument/2006/relationships/externalLink" Target="externalLinks/externalLink481.xml"/><Relationship Id="rId1041" Type="http://schemas.openxmlformats.org/officeDocument/2006/relationships/externalLink" Target="externalLinks/externalLink1013.xml"/><Relationship Id="rId495" Type="http://schemas.openxmlformats.org/officeDocument/2006/relationships/externalLink" Target="externalLinks/externalLink467.xml"/><Relationship Id="rId716" Type="http://schemas.openxmlformats.org/officeDocument/2006/relationships/externalLink" Target="externalLinks/externalLink688.xml"/><Relationship Id="rId923" Type="http://schemas.openxmlformats.org/officeDocument/2006/relationships/externalLink" Target="externalLinks/externalLink895.xml"/><Relationship Id="rId52" Type="http://schemas.openxmlformats.org/officeDocument/2006/relationships/externalLink" Target="externalLinks/externalLink24.xml"/><Relationship Id="rId148" Type="http://schemas.openxmlformats.org/officeDocument/2006/relationships/externalLink" Target="externalLinks/externalLink120.xml"/><Relationship Id="rId355" Type="http://schemas.openxmlformats.org/officeDocument/2006/relationships/externalLink" Target="externalLinks/externalLink327.xml"/><Relationship Id="rId562" Type="http://schemas.openxmlformats.org/officeDocument/2006/relationships/externalLink" Target="externalLinks/externalLink534.xml"/><Relationship Id="rId215" Type="http://schemas.openxmlformats.org/officeDocument/2006/relationships/externalLink" Target="externalLinks/externalLink187.xml"/><Relationship Id="rId422" Type="http://schemas.openxmlformats.org/officeDocument/2006/relationships/externalLink" Target="externalLinks/externalLink394.xml"/><Relationship Id="rId867" Type="http://schemas.openxmlformats.org/officeDocument/2006/relationships/externalLink" Target="externalLinks/externalLink839.xml"/><Relationship Id="rId1052" Type="http://schemas.openxmlformats.org/officeDocument/2006/relationships/externalLink" Target="externalLinks/externalLink1024.xml"/><Relationship Id="rId299" Type="http://schemas.openxmlformats.org/officeDocument/2006/relationships/externalLink" Target="externalLinks/externalLink271.xml"/><Relationship Id="rId727" Type="http://schemas.openxmlformats.org/officeDocument/2006/relationships/externalLink" Target="externalLinks/externalLink699.xml"/><Relationship Id="rId934" Type="http://schemas.openxmlformats.org/officeDocument/2006/relationships/externalLink" Target="externalLinks/externalLink906.xml"/><Relationship Id="rId63" Type="http://schemas.openxmlformats.org/officeDocument/2006/relationships/externalLink" Target="externalLinks/externalLink35.xml"/><Relationship Id="rId159" Type="http://schemas.openxmlformats.org/officeDocument/2006/relationships/externalLink" Target="externalLinks/externalLink131.xml"/><Relationship Id="rId366" Type="http://schemas.openxmlformats.org/officeDocument/2006/relationships/externalLink" Target="externalLinks/externalLink338.xml"/><Relationship Id="rId573" Type="http://schemas.openxmlformats.org/officeDocument/2006/relationships/externalLink" Target="externalLinks/externalLink545.xml"/><Relationship Id="rId780" Type="http://schemas.openxmlformats.org/officeDocument/2006/relationships/externalLink" Target="externalLinks/externalLink752.xml"/><Relationship Id="rId226" Type="http://schemas.openxmlformats.org/officeDocument/2006/relationships/externalLink" Target="externalLinks/externalLink198.xml"/><Relationship Id="rId433" Type="http://schemas.openxmlformats.org/officeDocument/2006/relationships/externalLink" Target="externalLinks/externalLink405.xml"/><Relationship Id="rId878" Type="http://schemas.openxmlformats.org/officeDocument/2006/relationships/externalLink" Target="externalLinks/externalLink850.xml"/><Relationship Id="rId1063" Type="http://schemas.openxmlformats.org/officeDocument/2006/relationships/externalLink" Target="externalLinks/externalLink1035.xml"/><Relationship Id="rId640" Type="http://schemas.openxmlformats.org/officeDocument/2006/relationships/externalLink" Target="externalLinks/externalLink612.xml"/><Relationship Id="rId738" Type="http://schemas.openxmlformats.org/officeDocument/2006/relationships/externalLink" Target="externalLinks/externalLink710.xml"/><Relationship Id="rId945" Type="http://schemas.openxmlformats.org/officeDocument/2006/relationships/externalLink" Target="externalLinks/externalLink917.xml"/><Relationship Id="rId74" Type="http://schemas.openxmlformats.org/officeDocument/2006/relationships/externalLink" Target="externalLinks/externalLink46.xml"/><Relationship Id="rId377" Type="http://schemas.openxmlformats.org/officeDocument/2006/relationships/externalLink" Target="externalLinks/externalLink349.xml"/><Relationship Id="rId500" Type="http://schemas.openxmlformats.org/officeDocument/2006/relationships/externalLink" Target="externalLinks/externalLink472.xml"/><Relationship Id="rId584" Type="http://schemas.openxmlformats.org/officeDocument/2006/relationships/externalLink" Target="externalLinks/externalLink556.xml"/><Relationship Id="rId805" Type="http://schemas.openxmlformats.org/officeDocument/2006/relationships/externalLink" Target="externalLinks/externalLink777.xml"/><Relationship Id="rId1130" Type="http://schemas.openxmlformats.org/officeDocument/2006/relationships/styles" Target="styles.xml"/><Relationship Id="rId5" Type="http://schemas.openxmlformats.org/officeDocument/2006/relationships/worksheet" Target="worksheets/sheet5.xml"/><Relationship Id="rId237" Type="http://schemas.openxmlformats.org/officeDocument/2006/relationships/externalLink" Target="externalLinks/externalLink209.xml"/><Relationship Id="rId791" Type="http://schemas.openxmlformats.org/officeDocument/2006/relationships/externalLink" Target="externalLinks/externalLink763.xml"/><Relationship Id="rId889" Type="http://schemas.openxmlformats.org/officeDocument/2006/relationships/externalLink" Target="externalLinks/externalLink861.xml"/><Relationship Id="rId1074" Type="http://schemas.openxmlformats.org/officeDocument/2006/relationships/externalLink" Target="externalLinks/externalLink1046.xml"/><Relationship Id="rId444" Type="http://schemas.openxmlformats.org/officeDocument/2006/relationships/externalLink" Target="externalLinks/externalLink416.xml"/><Relationship Id="rId651" Type="http://schemas.openxmlformats.org/officeDocument/2006/relationships/externalLink" Target="externalLinks/externalLink623.xml"/><Relationship Id="rId749" Type="http://schemas.openxmlformats.org/officeDocument/2006/relationships/externalLink" Target="externalLinks/externalLink721.xml"/><Relationship Id="rId290" Type="http://schemas.openxmlformats.org/officeDocument/2006/relationships/externalLink" Target="externalLinks/externalLink262.xml"/><Relationship Id="rId304" Type="http://schemas.openxmlformats.org/officeDocument/2006/relationships/externalLink" Target="externalLinks/externalLink276.xml"/><Relationship Id="rId388" Type="http://schemas.openxmlformats.org/officeDocument/2006/relationships/externalLink" Target="externalLinks/externalLink360.xml"/><Relationship Id="rId511" Type="http://schemas.openxmlformats.org/officeDocument/2006/relationships/externalLink" Target="externalLinks/externalLink483.xml"/><Relationship Id="rId609" Type="http://schemas.openxmlformats.org/officeDocument/2006/relationships/externalLink" Target="externalLinks/externalLink581.xml"/><Relationship Id="rId956" Type="http://schemas.openxmlformats.org/officeDocument/2006/relationships/externalLink" Target="externalLinks/externalLink928.xml"/><Relationship Id="rId85" Type="http://schemas.openxmlformats.org/officeDocument/2006/relationships/externalLink" Target="externalLinks/externalLink57.xml"/><Relationship Id="rId150" Type="http://schemas.openxmlformats.org/officeDocument/2006/relationships/externalLink" Target="externalLinks/externalLink122.xml"/><Relationship Id="rId595" Type="http://schemas.openxmlformats.org/officeDocument/2006/relationships/externalLink" Target="externalLinks/externalLink567.xml"/><Relationship Id="rId816" Type="http://schemas.openxmlformats.org/officeDocument/2006/relationships/externalLink" Target="externalLinks/externalLink788.xml"/><Relationship Id="rId1001" Type="http://schemas.openxmlformats.org/officeDocument/2006/relationships/externalLink" Target="externalLinks/externalLink973.xml"/><Relationship Id="rId248" Type="http://schemas.openxmlformats.org/officeDocument/2006/relationships/externalLink" Target="externalLinks/externalLink220.xml"/><Relationship Id="rId455" Type="http://schemas.openxmlformats.org/officeDocument/2006/relationships/externalLink" Target="externalLinks/externalLink427.xml"/><Relationship Id="rId662" Type="http://schemas.openxmlformats.org/officeDocument/2006/relationships/externalLink" Target="externalLinks/externalLink634.xml"/><Relationship Id="rId1085" Type="http://schemas.openxmlformats.org/officeDocument/2006/relationships/externalLink" Target="externalLinks/externalLink1057.xml"/><Relationship Id="rId12" Type="http://schemas.openxmlformats.org/officeDocument/2006/relationships/worksheet" Target="worksheets/sheet12.xml"/><Relationship Id="rId108" Type="http://schemas.openxmlformats.org/officeDocument/2006/relationships/externalLink" Target="externalLinks/externalLink80.xml"/><Relationship Id="rId315" Type="http://schemas.openxmlformats.org/officeDocument/2006/relationships/externalLink" Target="externalLinks/externalLink287.xml"/><Relationship Id="rId522" Type="http://schemas.openxmlformats.org/officeDocument/2006/relationships/externalLink" Target="externalLinks/externalLink494.xml"/><Relationship Id="rId967" Type="http://schemas.openxmlformats.org/officeDocument/2006/relationships/externalLink" Target="externalLinks/externalLink939.xml"/><Relationship Id="rId96" Type="http://schemas.openxmlformats.org/officeDocument/2006/relationships/externalLink" Target="externalLinks/externalLink68.xml"/><Relationship Id="rId161" Type="http://schemas.openxmlformats.org/officeDocument/2006/relationships/externalLink" Target="externalLinks/externalLink133.xml"/><Relationship Id="rId399" Type="http://schemas.openxmlformats.org/officeDocument/2006/relationships/externalLink" Target="externalLinks/externalLink371.xml"/><Relationship Id="rId827" Type="http://schemas.openxmlformats.org/officeDocument/2006/relationships/externalLink" Target="externalLinks/externalLink799.xml"/><Relationship Id="rId1012" Type="http://schemas.openxmlformats.org/officeDocument/2006/relationships/externalLink" Target="externalLinks/externalLink984.xml"/><Relationship Id="rId259" Type="http://schemas.openxmlformats.org/officeDocument/2006/relationships/externalLink" Target="externalLinks/externalLink231.xml"/><Relationship Id="rId466" Type="http://schemas.openxmlformats.org/officeDocument/2006/relationships/externalLink" Target="externalLinks/externalLink438.xml"/><Relationship Id="rId673" Type="http://schemas.openxmlformats.org/officeDocument/2006/relationships/externalLink" Target="externalLinks/externalLink645.xml"/><Relationship Id="rId880" Type="http://schemas.openxmlformats.org/officeDocument/2006/relationships/externalLink" Target="externalLinks/externalLink852.xml"/><Relationship Id="rId1096" Type="http://schemas.openxmlformats.org/officeDocument/2006/relationships/externalLink" Target="externalLinks/externalLink1068.xml"/><Relationship Id="rId23" Type="http://schemas.openxmlformats.org/officeDocument/2006/relationships/worksheet" Target="worksheets/sheet23.xml"/><Relationship Id="rId119" Type="http://schemas.openxmlformats.org/officeDocument/2006/relationships/externalLink" Target="externalLinks/externalLink91.xml"/><Relationship Id="rId326" Type="http://schemas.openxmlformats.org/officeDocument/2006/relationships/externalLink" Target="externalLinks/externalLink298.xml"/><Relationship Id="rId533" Type="http://schemas.openxmlformats.org/officeDocument/2006/relationships/externalLink" Target="externalLinks/externalLink505.xml"/><Relationship Id="rId978" Type="http://schemas.openxmlformats.org/officeDocument/2006/relationships/externalLink" Target="externalLinks/externalLink950.xml"/><Relationship Id="rId740" Type="http://schemas.openxmlformats.org/officeDocument/2006/relationships/externalLink" Target="externalLinks/externalLink712.xml"/><Relationship Id="rId838" Type="http://schemas.openxmlformats.org/officeDocument/2006/relationships/externalLink" Target="externalLinks/externalLink810.xml"/><Relationship Id="rId1023" Type="http://schemas.openxmlformats.org/officeDocument/2006/relationships/externalLink" Target="externalLinks/externalLink995.xml"/><Relationship Id="rId172" Type="http://schemas.openxmlformats.org/officeDocument/2006/relationships/externalLink" Target="externalLinks/externalLink144.xml"/><Relationship Id="rId477" Type="http://schemas.openxmlformats.org/officeDocument/2006/relationships/externalLink" Target="externalLinks/externalLink449.xml"/><Relationship Id="rId600" Type="http://schemas.openxmlformats.org/officeDocument/2006/relationships/externalLink" Target="externalLinks/externalLink572.xml"/><Relationship Id="rId684" Type="http://schemas.openxmlformats.org/officeDocument/2006/relationships/externalLink" Target="externalLinks/externalLink656.xml"/><Relationship Id="rId337" Type="http://schemas.openxmlformats.org/officeDocument/2006/relationships/externalLink" Target="externalLinks/externalLink309.xml"/><Relationship Id="rId891" Type="http://schemas.openxmlformats.org/officeDocument/2006/relationships/externalLink" Target="externalLinks/externalLink863.xml"/><Relationship Id="rId905" Type="http://schemas.openxmlformats.org/officeDocument/2006/relationships/externalLink" Target="externalLinks/externalLink877.xml"/><Relationship Id="rId989" Type="http://schemas.openxmlformats.org/officeDocument/2006/relationships/externalLink" Target="externalLinks/externalLink961.xml"/><Relationship Id="rId34" Type="http://schemas.openxmlformats.org/officeDocument/2006/relationships/externalLink" Target="externalLinks/externalLink6.xml"/><Relationship Id="rId544" Type="http://schemas.openxmlformats.org/officeDocument/2006/relationships/externalLink" Target="externalLinks/externalLink516.xml"/><Relationship Id="rId751" Type="http://schemas.openxmlformats.org/officeDocument/2006/relationships/externalLink" Target="externalLinks/externalLink723.xml"/><Relationship Id="rId849" Type="http://schemas.openxmlformats.org/officeDocument/2006/relationships/externalLink" Target="externalLinks/externalLink821.xml"/><Relationship Id="rId183" Type="http://schemas.openxmlformats.org/officeDocument/2006/relationships/externalLink" Target="externalLinks/externalLink155.xml"/><Relationship Id="rId390" Type="http://schemas.openxmlformats.org/officeDocument/2006/relationships/externalLink" Target="externalLinks/externalLink362.xml"/><Relationship Id="rId404" Type="http://schemas.openxmlformats.org/officeDocument/2006/relationships/externalLink" Target="externalLinks/externalLink376.xml"/><Relationship Id="rId611" Type="http://schemas.openxmlformats.org/officeDocument/2006/relationships/externalLink" Target="externalLinks/externalLink583.xml"/><Relationship Id="rId1034" Type="http://schemas.openxmlformats.org/officeDocument/2006/relationships/externalLink" Target="externalLinks/externalLink1006.xml"/><Relationship Id="rId250" Type="http://schemas.openxmlformats.org/officeDocument/2006/relationships/externalLink" Target="externalLinks/externalLink222.xml"/><Relationship Id="rId488" Type="http://schemas.openxmlformats.org/officeDocument/2006/relationships/externalLink" Target="externalLinks/externalLink460.xml"/><Relationship Id="rId695" Type="http://schemas.openxmlformats.org/officeDocument/2006/relationships/externalLink" Target="externalLinks/externalLink667.xml"/><Relationship Id="rId709" Type="http://schemas.openxmlformats.org/officeDocument/2006/relationships/externalLink" Target="externalLinks/externalLink681.xml"/><Relationship Id="rId916" Type="http://schemas.openxmlformats.org/officeDocument/2006/relationships/externalLink" Target="externalLinks/externalLink888.xml"/><Relationship Id="rId1101" Type="http://schemas.openxmlformats.org/officeDocument/2006/relationships/externalLink" Target="externalLinks/externalLink1073.xml"/><Relationship Id="rId45" Type="http://schemas.openxmlformats.org/officeDocument/2006/relationships/externalLink" Target="externalLinks/externalLink17.xml"/><Relationship Id="rId110" Type="http://schemas.openxmlformats.org/officeDocument/2006/relationships/externalLink" Target="externalLinks/externalLink82.xml"/><Relationship Id="rId348" Type="http://schemas.openxmlformats.org/officeDocument/2006/relationships/externalLink" Target="externalLinks/externalLink320.xml"/><Relationship Id="rId555" Type="http://schemas.openxmlformats.org/officeDocument/2006/relationships/externalLink" Target="externalLinks/externalLink527.xml"/><Relationship Id="rId762" Type="http://schemas.openxmlformats.org/officeDocument/2006/relationships/externalLink" Target="externalLinks/externalLink734.xml"/><Relationship Id="rId194" Type="http://schemas.openxmlformats.org/officeDocument/2006/relationships/externalLink" Target="externalLinks/externalLink166.xml"/><Relationship Id="rId208" Type="http://schemas.openxmlformats.org/officeDocument/2006/relationships/externalLink" Target="externalLinks/externalLink180.xml"/><Relationship Id="rId415" Type="http://schemas.openxmlformats.org/officeDocument/2006/relationships/externalLink" Target="externalLinks/externalLink387.xml"/><Relationship Id="rId622" Type="http://schemas.openxmlformats.org/officeDocument/2006/relationships/externalLink" Target="externalLinks/externalLink594.xml"/><Relationship Id="rId1045" Type="http://schemas.openxmlformats.org/officeDocument/2006/relationships/externalLink" Target="externalLinks/externalLink1017.xml"/><Relationship Id="rId261" Type="http://schemas.openxmlformats.org/officeDocument/2006/relationships/externalLink" Target="externalLinks/externalLink233.xml"/><Relationship Id="rId499" Type="http://schemas.openxmlformats.org/officeDocument/2006/relationships/externalLink" Target="externalLinks/externalLink471.xml"/><Relationship Id="rId927" Type="http://schemas.openxmlformats.org/officeDocument/2006/relationships/externalLink" Target="externalLinks/externalLink899.xml"/><Relationship Id="rId1112" Type="http://schemas.openxmlformats.org/officeDocument/2006/relationships/externalLink" Target="externalLinks/externalLink1084.xml"/><Relationship Id="rId56" Type="http://schemas.openxmlformats.org/officeDocument/2006/relationships/externalLink" Target="externalLinks/externalLink28.xml"/><Relationship Id="rId359" Type="http://schemas.openxmlformats.org/officeDocument/2006/relationships/externalLink" Target="externalLinks/externalLink331.xml"/><Relationship Id="rId566" Type="http://schemas.openxmlformats.org/officeDocument/2006/relationships/externalLink" Target="externalLinks/externalLink538.xml"/><Relationship Id="rId773" Type="http://schemas.openxmlformats.org/officeDocument/2006/relationships/externalLink" Target="externalLinks/externalLink745.xml"/><Relationship Id="rId121" Type="http://schemas.openxmlformats.org/officeDocument/2006/relationships/externalLink" Target="externalLinks/externalLink93.xml"/><Relationship Id="rId219" Type="http://schemas.openxmlformats.org/officeDocument/2006/relationships/externalLink" Target="externalLinks/externalLink191.xml"/><Relationship Id="rId426" Type="http://schemas.openxmlformats.org/officeDocument/2006/relationships/externalLink" Target="externalLinks/externalLink398.xml"/><Relationship Id="rId633" Type="http://schemas.openxmlformats.org/officeDocument/2006/relationships/externalLink" Target="externalLinks/externalLink605.xml"/><Relationship Id="rId980" Type="http://schemas.openxmlformats.org/officeDocument/2006/relationships/externalLink" Target="externalLinks/externalLink952.xml"/><Relationship Id="rId1056" Type="http://schemas.openxmlformats.org/officeDocument/2006/relationships/externalLink" Target="externalLinks/externalLink1028.xml"/><Relationship Id="rId840" Type="http://schemas.openxmlformats.org/officeDocument/2006/relationships/externalLink" Target="externalLinks/externalLink812.xml"/><Relationship Id="rId938" Type="http://schemas.openxmlformats.org/officeDocument/2006/relationships/externalLink" Target="externalLinks/externalLink910.xml"/><Relationship Id="rId67" Type="http://schemas.openxmlformats.org/officeDocument/2006/relationships/externalLink" Target="externalLinks/externalLink39.xml"/><Relationship Id="rId272" Type="http://schemas.openxmlformats.org/officeDocument/2006/relationships/externalLink" Target="externalLinks/externalLink244.xml"/><Relationship Id="rId577" Type="http://schemas.openxmlformats.org/officeDocument/2006/relationships/externalLink" Target="externalLinks/externalLink549.xml"/><Relationship Id="rId700" Type="http://schemas.openxmlformats.org/officeDocument/2006/relationships/externalLink" Target="externalLinks/externalLink672.xml"/><Relationship Id="rId1123" Type="http://schemas.openxmlformats.org/officeDocument/2006/relationships/externalLink" Target="externalLinks/externalLink1095.xml"/><Relationship Id="rId132" Type="http://schemas.openxmlformats.org/officeDocument/2006/relationships/externalLink" Target="externalLinks/externalLink104.xml"/><Relationship Id="rId784" Type="http://schemas.openxmlformats.org/officeDocument/2006/relationships/externalLink" Target="externalLinks/externalLink756.xml"/><Relationship Id="rId991" Type="http://schemas.openxmlformats.org/officeDocument/2006/relationships/externalLink" Target="externalLinks/externalLink963.xml"/><Relationship Id="rId1067" Type="http://schemas.openxmlformats.org/officeDocument/2006/relationships/externalLink" Target="externalLinks/externalLink1039.xml"/><Relationship Id="rId437" Type="http://schemas.openxmlformats.org/officeDocument/2006/relationships/externalLink" Target="externalLinks/externalLink409.xml"/><Relationship Id="rId644" Type="http://schemas.openxmlformats.org/officeDocument/2006/relationships/externalLink" Target="externalLinks/externalLink616.xml"/><Relationship Id="rId851" Type="http://schemas.openxmlformats.org/officeDocument/2006/relationships/externalLink" Target="externalLinks/externalLink823.xml"/><Relationship Id="rId283" Type="http://schemas.openxmlformats.org/officeDocument/2006/relationships/externalLink" Target="externalLinks/externalLink255.xml"/><Relationship Id="rId490" Type="http://schemas.openxmlformats.org/officeDocument/2006/relationships/externalLink" Target="externalLinks/externalLink462.xml"/><Relationship Id="rId504" Type="http://schemas.openxmlformats.org/officeDocument/2006/relationships/externalLink" Target="externalLinks/externalLink476.xml"/><Relationship Id="rId711" Type="http://schemas.openxmlformats.org/officeDocument/2006/relationships/externalLink" Target="externalLinks/externalLink683.xml"/><Relationship Id="rId949" Type="http://schemas.openxmlformats.org/officeDocument/2006/relationships/externalLink" Target="externalLinks/externalLink921.xml"/><Relationship Id="rId1134" Type="http://schemas.openxmlformats.org/officeDocument/2006/relationships/customXml" Target="../customXml/item2.xml"/><Relationship Id="rId78" Type="http://schemas.openxmlformats.org/officeDocument/2006/relationships/externalLink" Target="externalLinks/externalLink50.xml"/><Relationship Id="rId143" Type="http://schemas.openxmlformats.org/officeDocument/2006/relationships/externalLink" Target="externalLinks/externalLink115.xml"/><Relationship Id="rId350" Type="http://schemas.openxmlformats.org/officeDocument/2006/relationships/externalLink" Target="externalLinks/externalLink322.xml"/><Relationship Id="rId588" Type="http://schemas.openxmlformats.org/officeDocument/2006/relationships/externalLink" Target="externalLinks/externalLink560.xml"/><Relationship Id="rId795" Type="http://schemas.openxmlformats.org/officeDocument/2006/relationships/externalLink" Target="externalLinks/externalLink767.xml"/><Relationship Id="rId809" Type="http://schemas.openxmlformats.org/officeDocument/2006/relationships/externalLink" Target="externalLinks/externalLink781.xml"/><Relationship Id="rId9" Type="http://schemas.openxmlformats.org/officeDocument/2006/relationships/worksheet" Target="worksheets/sheet9.xml"/><Relationship Id="rId210" Type="http://schemas.openxmlformats.org/officeDocument/2006/relationships/externalLink" Target="externalLinks/externalLink182.xml"/><Relationship Id="rId448" Type="http://schemas.openxmlformats.org/officeDocument/2006/relationships/externalLink" Target="externalLinks/externalLink420.xml"/><Relationship Id="rId655" Type="http://schemas.openxmlformats.org/officeDocument/2006/relationships/externalLink" Target="externalLinks/externalLink627.xml"/><Relationship Id="rId862" Type="http://schemas.openxmlformats.org/officeDocument/2006/relationships/externalLink" Target="externalLinks/externalLink834.xml"/><Relationship Id="rId1078" Type="http://schemas.openxmlformats.org/officeDocument/2006/relationships/externalLink" Target="externalLinks/externalLink1050.xml"/><Relationship Id="rId294" Type="http://schemas.openxmlformats.org/officeDocument/2006/relationships/externalLink" Target="externalLinks/externalLink266.xml"/><Relationship Id="rId308" Type="http://schemas.openxmlformats.org/officeDocument/2006/relationships/externalLink" Target="externalLinks/externalLink280.xml"/><Relationship Id="rId515" Type="http://schemas.openxmlformats.org/officeDocument/2006/relationships/externalLink" Target="externalLinks/externalLink487.xml"/><Relationship Id="rId722" Type="http://schemas.openxmlformats.org/officeDocument/2006/relationships/externalLink" Target="externalLinks/externalLink694.xml"/><Relationship Id="rId89" Type="http://schemas.openxmlformats.org/officeDocument/2006/relationships/externalLink" Target="externalLinks/externalLink61.xml"/><Relationship Id="rId154" Type="http://schemas.openxmlformats.org/officeDocument/2006/relationships/externalLink" Target="externalLinks/externalLink126.xml"/><Relationship Id="rId361" Type="http://schemas.openxmlformats.org/officeDocument/2006/relationships/externalLink" Target="externalLinks/externalLink333.xml"/><Relationship Id="rId599" Type="http://schemas.openxmlformats.org/officeDocument/2006/relationships/externalLink" Target="externalLinks/externalLink571.xml"/><Relationship Id="rId1005" Type="http://schemas.openxmlformats.org/officeDocument/2006/relationships/externalLink" Target="externalLinks/externalLink977.xml"/><Relationship Id="rId459" Type="http://schemas.openxmlformats.org/officeDocument/2006/relationships/externalLink" Target="externalLinks/externalLink431.xml"/><Relationship Id="rId666" Type="http://schemas.openxmlformats.org/officeDocument/2006/relationships/externalLink" Target="externalLinks/externalLink638.xml"/><Relationship Id="rId873" Type="http://schemas.openxmlformats.org/officeDocument/2006/relationships/externalLink" Target="externalLinks/externalLink845.xml"/><Relationship Id="rId1089" Type="http://schemas.openxmlformats.org/officeDocument/2006/relationships/externalLink" Target="externalLinks/externalLink1061.xml"/><Relationship Id="rId16" Type="http://schemas.openxmlformats.org/officeDocument/2006/relationships/worksheet" Target="worksheets/sheet16.xml"/><Relationship Id="rId221" Type="http://schemas.openxmlformats.org/officeDocument/2006/relationships/externalLink" Target="externalLinks/externalLink193.xml"/><Relationship Id="rId319" Type="http://schemas.openxmlformats.org/officeDocument/2006/relationships/externalLink" Target="externalLinks/externalLink291.xml"/><Relationship Id="rId526" Type="http://schemas.openxmlformats.org/officeDocument/2006/relationships/externalLink" Target="externalLinks/externalLink498.xml"/><Relationship Id="rId733" Type="http://schemas.openxmlformats.org/officeDocument/2006/relationships/externalLink" Target="externalLinks/externalLink705.xml"/><Relationship Id="rId940" Type="http://schemas.openxmlformats.org/officeDocument/2006/relationships/externalLink" Target="externalLinks/externalLink912.xml"/><Relationship Id="rId1016" Type="http://schemas.openxmlformats.org/officeDocument/2006/relationships/externalLink" Target="externalLinks/externalLink988.xml"/><Relationship Id="rId165" Type="http://schemas.openxmlformats.org/officeDocument/2006/relationships/externalLink" Target="externalLinks/externalLink137.xml"/><Relationship Id="rId372" Type="http://schemas.openxmlformats.org/officeDocument/2006/relationships/externalLink" Target="externalLinks/externalLink344.xml"/><Relationship Id="rId677" Type="http://schemas.openxmlformats.org/officeDocument/2006/relationships/externalLink" Target="externalLinks/externalLink649.xml"/><Relationship Id="rId800" Type="http://schemas.openxmlformats.org/officeDocument/2006/relationships/externalLink" Target="externalLinks/externalLink772.xml"/><Relationship Id="rId232" Type="http://schemas.openxmlformats.org/officeDocument/2006/relationships/externalLink" Target="externalLinks/externalLink204.xml"/><Relationship Id="rId884" Type="http://schemas.openxmlformats.org/officeDocument/2006/relationships/externalLink" Target="externalLinks/externalLink856.xml"/><Relationship Id="rId27" Type="http://schemas.openxmlformats.org/officeDocument/2006/relationships/worksheet" Target="worksheets/sheet27.xml"/><Relationship Id="rId537" Type="http://schemas.openxmlformats.org/officeDocument/2006/relationships/externalLink" Target="externalLinks/externalLink509.xml"/><Relationship Id="rId744" Type="http://schemas.openxmlformats.org/officeDocument/2006/relationships/externalLink" Target="externalLinks/externalLink716.xml"/><Relationship Id="rId951" Type="http://schemas.openxmlformats.org/officeDocument/2006/relationships/externalLink" Target="externalLinks/externalLink923.xml"/><Relationship Id="rId80" Type="http://schemas.openxmlformats.org/officeDocument/2006/relationships/externalLink" Target="externalLinks/externalLink52.xml"/><Relationship Id="rId176" Type="http://schemas.openxmlformats.org/officeDocument/2006/relationships/externalLink" Target="externalLinks/externalLink148.xml"/><Relationship Id="rId383" Type="http://schemas.openxmlformats.org/officeDocument/2006/relationships/externalLink" Target="externalLinks/externalLink355.xml"/><Relationship Id="rId590" Type="http://schemas.openxmlformats.org/officeDocument/2006/relationships/externalLink" Target="externalLinks/externalLink562.xml"/><Relationship Id="rId604" Type="http://schemas.openxmlformats.org/officeDocument/2006/relationships/externalLink" Target="externalLinks/externalLink576.xml"/><Relationship Id="rId811" Type="http://schemas.openxmlformats.org/officeDocument/2006/relationships/externalLink" Target="externalLinks/externalLink783.xml"/><Relationship Id="rId1027" Type="http://schemas.openxmlformats.org/officeDocument/2006/relationships/externalLink" Target="externalLinks/externalLink999.xml"/><Relationship Id="rId243" Type="http://schemas.openxmlformats.org/officeDocument/2006/relationships/externalLink" Target="externalLinks/externalLink215.xml"/><Relationship Id="rId450" Type="http://schemas.openxmlformats.org/officeDocument/2006/relationships/externalLink" Target="externalLinks/externalLink422.xml"/><Relationship Id="rId688" Type="http://schemas.openxmlformats.org/officeDocument/2006/relationships/externalLink" Target="externalLinks/externalLink660.xml"/><Relationship Id="rId895" Type="http://schemas.openxmlformats.org/officeDocument/2006/relationships/externalLink" Target="externalLinks/externalLink867.xml"/><Relationship Id="rId909" Type="http://schemas.openxmlformats.org/officeDocument/2006/relationships/externalLink" Target="externalLinks/externalLink881.xml"/><Relationship Id="rId1080" Type="http://schemas.openxmlformats.org/officeDocument/2006/relationships/externalLink" Target="externalLinks/externalLink1052.xml"/><Relationship Id="rId38" Type="http://schemas.openxmlformats.org/officeDocument/2006/relationships/externalLink" Target="externalLinks/externalLink10.xml"/><Relationship Id="rId103" Type="http://schemas.openxmlformats.org/officeDocument/2006/relationships/externalLink" Target="externalLinks/externalLink75.xml"/><Relationship Id="rId310" Type="http://schemas.openxmlformats.org/officeDocument/2006/relationships/externalLink" Target="externalLinks/externalLink282.xml"/><Relationship Id="rId548" Type="http://schemas.openxmlformats.org/officeDocument/2006/relationships/externalLink" Target="externalLinks/externalLink520.xml"/><Relationship Id="rId755" Type="http://schemas.openxmlformats.org/officeDocument/2006/relationships/externalLink" Target="externalLinks/externalLink727.xml"/><Relationship Id="rId962" Type="http://schemas.openxmlformats.org/officeDocument/2006/relationships/externalLink" Target="externalLinks/externalLink934.xml"/><Relationship Id="rId91" Type="http://schemas.openxmlformats.org/officeDocument/2006/relationships/externalLink" Target="externalLinks/externalLink63.xml"/><Relationship Id="rId187" Type="http://schemas.openxmlformats.org/officeDocument/2006/relationships/externalLink" Target="externalLinks/externalLink159.xml"/><Relationship Id="rId394" Type="http://schemas.openxmlformats.org/officeDocument/2006/relationships/externalLink" Target="externalLinks/externalLink366.xml"/><Relationship Id="rId408" Type="http://schemas.openxmlformats.org/officeDocument/2006/relationships/externalLink" Target="externalLinks/externalLink380.xml"/><Relationship Id="rId615" Type="http://schemas.openxmlformats.org/officeDocument/2006/relationships/externalLink" Target="externalLinks/externalLink587.xml"/><Relationship Id="rId822" Type="http://schemas.openxmlformats.org/officeDocument/2006/relationships/externalLink" Target="externalLinks/externalLink794.xml"/><Relationship Id="rId1038" Type="http://schemas.openxmlformats.org/officeDocument/2006/relationships/externalLink" Target="externalLinks/externalLink1010.xml"/><Relationship Id="rId254" Type="http://schemas.openxmlformats.org/officeDocument/2006/relationships/externalLink" Target="externalLinks/externalLink226.xml"/><Relationship Id="rId699" Type="http://schemas.openxmlformats.org/officeDocument/2006/relationships/externalLink" Target="externalLinks/externalLink671.xml"/><Relationship Id="rId1091" Type="http://schemas.openxmlformats.org/officeDocument/2006/relationships/externalLink" Target="externalLinks/externalLink1063.xml"/><Relationship Id="rId1105" Type="http://schemas.openxmlformats.org/officeDocument/2006/relationships/externalLink" Target="externalLinks/externalLink1077.xml"/><Relationship Id="rId49" Type="http://schemas.openxmlformats.org/officeDocument/2006/relationships/externalLink" Target="externalLinks/externalLink21.xml"/><Relationship Id="rId114" Type="http://schemas.openxmlformats.org/officeDocument/2006/relationships/externalLink" Target="externalLinks/externalLink86.xml"/><Relationship Id="rId461" Type="http://schemas.openxmlformats.org/officeDocument/2006/relationships/externalLink" Target="externalLinks/externalLink433.xml"/><Relationship Id="rId559" Type="http://schemas.openxmlformats.org/officeDocument/2006/relationships/externalLink" Target="externalLinks/externalLink531.xml"/><Relationship Id="rId766" Type="http://schemas.openxmlformats.org/officeDocument/2006/relationships/externalLink" Target="externalLinks/externalLink738.xml"/><Relationship Id="rId198" Type="http://schemas.openxmlformats.org/officeDocument/2006/relationships/externalLink" Target="externalLinks/externalLink170.xml"/><Relationship Id="rId321" Type="http://schemas.openxmlformats.org/officeDocument/2006/relationships/externalLink" Target="externalLinks/externalLink293.xml"/><Relationship Id="rId419" Type="http://schemas.openxmlformats.org/officeDocument/2006/relationships/externalLink" Target="externalLinks/externalLink391.xml"/><Relationship Id="rId626" Type="http://schemas.openxmlformats.org/officeDocument/2006/relationships/externalLink" Target="externalLinks/externalLink598.xml"/><Relationship Id="rId973" Type="http://schemas.openxmlformats.org/officeDocument/2006/relationships/externalLink" Target="externalLinks/externalLink945.xml"/><Relationship Id="rId1049" Type="http://schemas.openxmlformats.org/officeDocument/2006/relationships/externalLink" Target="externalLinks/externalLink1021.xml"/><Relationship Id="rId833" Type="http://schemas.openxmlformats.org/officeDocument/2006/relationships/externalLink" Target="externalLinks/externalLink805.xml"/><Relationship Id="rId1116" Type="http://schemas.openxmlformats.org/officeDocument/2006/relationships/externalLink" Target="externalLinks/externalLink1088.xml"/><Relationship Id="rId265" Type="http://schemas.openxmlformats.org/officeDocument/2006/relationships/externalLink" Target="externalLinks/externalLink237.xml"/><Relationship Id="rId472" Type="http://schemas.openxmlformats.org/officeDocument/2006/relationships/externalLink" Target="externalLinks/externalLink444.xml"/><Relationship Id="rId900" Type="http://schemas.openxmlformats.org/officeDocument/2006/relationships/externalLink" Target="externalLinks/externalLink872.xml"/><Relationship Id="rId125" Type="http://schemas.openxmlformats.org/officeDocument/2006/relationships/externalLink" Target="externalLinks/externalLink97.xml"/><Relationship Id="rId332" Type="http://schemas.openxmlformats.org/officeDocument/2006/relationships/externalLink" Target="externalLinks/externalLink304.xml"/><Relationship Id="rId777" Type="http://schemas.openxmlformats.org/officeDocument/2006/relationships/externalLink" Target="externalLinks/externalLink749.xml"/><Relationship Id="rId984" Type="http://schemas.openxmlformats.org/officeDocument/2006/relationships/externalLink" Target="externalLinks/externalLink956.xml"/><Relationship Id="rId637" Type="http://schemas.openxmlformats.org/officeDocument/2006/relationships/externalLink" Target="externalLinks/externalLink609.xml"/><Relationship Id="rId844" Type="http://schemas.openxmlformats.org/officeDocument/2006/relationships/externalLink" Target="externalLinks/externalLink816.xml"/><Relationship Id="rId276" Type="http://schemas.openxmlformats.org/officeDocument/2006/relationships/externalLink" Target="externalLinks/externalLink248.xml"/><Relationship Id="rId483" Type="http://schemas.openxmlformats.org/officeDocument/2006/relationships/externalLink" Target="externalLinks/externalLink455.xml"/><Relationship Id="rId690" Type="http://schemas.openxmlformats.org/officeDocument/2006/relationships/externalLink" Target="externalLinks/externalLink662.xml"/><Relationship Id="rId704" Type="http://schemas.openxmlformats.org/officeDocument/2006/relationships/externalLink" Target="externalLinks/externalLink676.xml"/><Relationship Id="rId911" Type="http://schemas.openxmlformats.org/officeDocument/2006/relationships/externalLink" Target="externalLinks/externalLink883.xml"/><Relationship Id="rId1127" Type="http://schemas.openxmlformats.org/officeDocument/2006/relationships/externalLink" Target="externalLinks/externalLink1099.xml"/><Relationship Id="rId40" Type="http://schemas.openxmlformats.org/officeDocument/2006/relationships/externalLink" Target="externalLinks/externalLink12.xml"/><Relationship Id="rId136" Type="http://schemas.openxmlformats.org/officeDocument/2006/relationships/externalLink" Target="externalLinks/externalLink108.xml"/><Relationship Id="rId343" Type="http://schemas.openxmlformats.org/officeDocument/2006/relationships/externalLink" Target="externalLinks/externalLink315.xml"/><Relationship Id="rId550" Type="http://schemas.openxmlformats.org/officeDocument/2006/relationships/externalLink" Target="externalLinks/externalLink522.xml"/><Relationship Id="rId788" Type="http://schemas.openxmlformats.org/officeDocument/2006/relationships/externalLink" Target="externalLinks/externalLink760.xml"/><Relationship Id="rId995" Type="http://schemas.openxmlformats.org/officeDocument/2006/relationships/externalLink" Target="externalLinks/externalLink967.xml"/><Relationship Id="rId203" Type="http://schemas.openxmlformats.org/officeDocument/2006/relationships/externalLink" Target="externalLinks/externalLink175.xml"/><Relationship Id="rId648" Type="http://schemas.openxmlformats.org/officeDocument/2006/relationships/externalLink" Target="externalLinks/externalLink620.xml"/><Relationship Id="rId855" Type="http://schemas.openxmlformats.org/officeDocument/2006/relationships/externalLink" Target="externalLinks/externalLink827.xml"/><Relationship Id="rId1040" Type="http://schemas.openxmlformats.org/officeDocument/2006/relationships/externalLink" Target="externalLinks/externalLink1012.xml"/><Relationship Id="rId287" Type="http://schemas.openxmlformats.org/officeDocument/2006/relationships/externalLink" Target="externalLinks/externalLink259.xml"/><Relationship Id="rId410" Type="http://schemas.openxmlformats.org/officeDocument/2006/relationships/externalLink" Target="externalLinks/externalLink382.xml"/><Relationship Id="rId494" Type="http://schemas.openxmlformats.org/officeDocument/2006/relationships/externalLink" Target="externalLinks/externalLink466.xml"/><Relationship Id="rId508" Type="http://schemas.openxmlformats.org/officeDocument/2006/relationships/externalLink" Target="externalLinks/externalLink480.xml"/><Relationship Id="rId715" Type="http://schemas.openxmlformats.org/officeDocument/2006/relationships/externalLink" Target="externalLinks/externalLink687.xml"/><Relationship Id="rId922" Type="http://schemas.openxmlformats.org/officeDocument/2006/relationships/externalLink" Target="externalLinks/externalLink894.xml"/><Relationship Id="rId147" Type="http://schemas.openxmlformats.org/officeDocument/2006/relationships/externalLink" Target="externalLinks/externalLink119.xml"/><Relationship Id="rId354" Type="http://schemas.openxmlformats.org/officeDocument/2006/relationships/externalLink" Target="externalLinks/externalLink326.xml"/><Relationship Id="rId799" Type="http://schemas.openxmlformats.org/officeDocument/2006/relationships/externalLink" Target="externalLinks/externalLink771.xml"/><Relationship Id="rId51" Type="http://schemas.openxmlformats.org/officeDocument/2006/relationships/externalLink" Target="externalLinks/externalLink23.xml"/><Relationship Id="rId561" Type="http://schemas.openxmlformats.org/officeDocument/2006/relationships/externalLink" Target="externalLinks/externalLink533.xml"/><Relationship Id="rId659" Type="http://schemas.openxmlformats.org/officeDocument/2006/relationships/externalLink" Target="externalLinks/externalLink631.xml"/><Relationship Id="rId866" Type="http://schemas.openxmlformats.org/officeDocument/2006/relationships/externalLink" Target="externalLinks/externalLink838.xml"/><Relationship Id="rId214" Type="http://schemas.openxmlformats.org/officeDocument/2006/relationships/externalLink" Target="externalLinks/externalLink186.xml"/><Relationship Id="rId298" Type="http://schemas.openxmlformats.org/officeDocument/2006/relationships/externalLink" Target="externalLinks/externalLink270.xml"/><Relationship Id="rId421" Type="http://schemas.openxmlformats.org/officeDocument/2006/relationships/externalLink" Target="externalLinks/externalLink393.xml"/><Relationship Id="rId519" Type="http://schemas.openxmlformats.org/officeDocument/2006/relationships/externalLink" Target="externalLinks/externalLink491.xml"/><Relationship Id="rId1051" Type="http://schemas.openxmlformats.org/officeDocument/2006/relationships/externalLink" Target="externalLinks/externalLink1023.xml"/><Relationship Id="rId158" Type="http://schemas.openxmlformats.org/officeDocument/2006/relationships/externalLink" Target="externalLinks/externalLink130.xml"/><Relationship Id="rId726" Type="http://schemas.openxmlformats.org/officeDocument/2006/relationships/externalLink" Target="externalLinks/externalLink698.xml"/><Relationship Id="rId933" Type="http://schemas.openxmlformats.org/officeDocument/2006/relationships/externalLink" Target="externalLinks/externalLink905.xml"/><Relationship Id="rId1009" Type="http://schemas.openxmlformats.org/officeDocument/2006/relationships/externalLink" Target="externalLinks/externalLink981.xml"/><Relationship Id="rId62" Type="http://schemas.openxmlformats.org/officeDocument/2006/relationships/externalLink" Target="externalLinks/externalLink34.xml"/><Relationship Id="rId365" Type="http://schemas.openxmlformats.org/officeDocument/2006/relationships/externalLink" Target="externalLinks/externalLink337.xml"/><Relationship Id="rId572" Type="http://schemas.openxmlformats.org/officeDocument/2006/relationships/externalLink" Target="externalLinks/externalLink544.xml"/><Relationship Id="rId225" Type="http://schemas.openxmlformats.org/officeDocument/2006/relationships/externalLink" Target="externalLinks/externalLink197.xml"/><Relationship Id="rId432" Type="http://schemas.openxmlformats.org/officeDocument/2006/relationships/externalLink" Target="externalLinks/externalLink404.xml"/><Relationship Id="rId877" Type="http://schemas.openxmlformats.org/officeDocument/2006/relationships/externalLink" Target="externalLinks/externalLink849.xml"/><Relationship Id="rId1062" Type="http://schemas.openxmlformats.org/officeDocument/2006/relationships/externalLink" Target="externalLinks/externalLink1034.xml"/><Relationship Id="rId737" Type="http://schemas.openxmlformats.org/officeDocument/2006/relationships/externalLink" Target="externalLinks/externalLink709.xml"/><Relationship Id="rId944" Type="http://schemas.openxmlformats.org/officeDocument/2006/relationships/externalLink" Target="externalLinks/externalLink916.xml"/><Relationship Id="rId73" Type="http://schemas.openxmlformats.org/officeDocument/2006/relationships/externalLink" Target="externalLinks/externalLink45.xml"/><Relationship Id="rId169" Type="http://schemas.openxmlformats.org/officeDocument/2006/relationships/externalLink" Target="externalLinks/externalLink141.xml"/><Relationship Id="rId376" Type="http://schemas.openxmlformats.org/officeDocument/2006/relationships/externalLink" Target="externalLinks/externalLink348.xml"/><Relationship Id="rId583" Type="http://schemas.openxmlformats.org/officeDocument/2006/relationships/externalLink" Target="externalLinks/externalLink555.xml"/><Relationship Id="rId790" Type="http://schemas.openxmlformats.org/officeDocument/2006/relationships/externalLink" Target="externalLinks/externalLink762.xml"/><Relationship Id="rId804" Type="http://schemas.openxmlformats.org/officeDocument/2006/relationships/externalLink" Target="externalLinks/externalLink776.xml"/><Relationship Id="rId4" Type="http://schemas.openxmlformats.org/officeDocument/2006/relationships/worksheet" Target="worksheets/sheet4.xml"/><Relationship Id="rId236" Type="http://schemas.openxmlformats.org/officeDocument/2006/relationships/externalLink" Target="externalLinks/externalLink208.xml"/><Relationship Id="rId443" Type="http://schemas.openxmlformats.org/officeDocument/2006/relationships/externalLink" Target="externalLinks/externalLink415.xml"/><Relationship Id="rId650" Type="http://schemas.openxmlformats.org/officeDocument/2006/relationships/externalLink" Target="externalLinks/externalLink622.xml"/><Relationship Id="rId888" Type="http://schemas.openxmlformats.org/officeDocument/2006/relationships/externalLink" Target="externalLinks/externalLink860.xml"/><Relationship Id="rId1073" Type="http://schemas.openxmlformats.org/officeDocument/2006/relationships/externalLink" Target="externalLinks/externalLink1045.xml"/><Relationship Id="rId303" Type="http://schemas.openxmlformats.org/officeDocument/2006/relationships/externalLink" Target="externalLinks/externalLink275.xml"/><Relationship Id="rId748" Type="http://schemas.openxmlformats.org/officeDocument/2006/relationships/externalLink" Target="externalLinks/externalLink720.xml"/><Relationship Id="rId955" Type="http://schemas.openxmlformats.org/officeDocument/2006/relationships/externalLink" Target="externalLinks/externalLink927.xml"/><Relationship Id="rId84" Type="http://schemas.openxmlformats.org/officeDocument/2006/relationships/externalLink" Target="externalLinks/externalLink56.xml"/><Relationship Id="rId387" Type="http://schemas.openxmlformats.org/officeDocument/2006/relationships/externalLink" Target="externalLinks/externalLink359.xml"/><Relationship Id="rId510" Type="http://schemas.openxmlformats.org/officeDocument/2006/relationships/externalLink" Target="externalLinks/externalLink482.xml"/><Relationship Id="rId594" Type="http://schemas.openxmlformats.org/officeDocument/2006/relationships/externalLink" Target="externalLinks/externalLink566.xml"/><Relationship Id="rId608" Type="http://schemas.openxmlformats.org/officeDocument/2006/relationships/externalLink" Target="externalLinks/externalLink580.xml"/><Relationship Id="rId815" Type="http://schemas.openxmlformats.org/officeDocument/2006/relationships/externalLink" Target="externalLinks/externalLink787.xml"/><Relationship Id="rId247" Type="http://schemas.openxmlformats.org/officeDocument/2006/relationships/externalLink" Target="externalLinks/externalLink219.xml"/><Relationship Id="rId899" Type="http://schemas.openxmlformats.org/officeDocument/2006/relationships/externalLink" Target="externalLinks/externalLink871.xml"/><Relationship Id="rId1000" Type="http://schemas.openxmlformats.org/officeDocument/2006/relationships/externalLink" Target="externalLinks/externalLink972.xml"/><Relationship Id="rId1084" Type="http://schemas.openxmlformats.org/officeDocument/2006/relationships/externalLink" Target="externalLinks/externalLink1056.xml"/><Relationship Id="rId107" Type="http://schemas.openxmlformats.org/officeDocument/2006/relationships/externalLink" Target="externalLinks/externalLink79.xml"/><Relationship Id="rId454" Type="http://schemas.openxmlformats.org/officeDocument/2006/relationships/externalLink" Target="externalLinks/externalLink426.xml"/><Relationship Id="rId661" Type="http://schemas.openxmlformats.org/officeDocument/2006/relationships/externalLink" Target="externalLinks/externalLink633.xml"/><Relationship Id="rId759" Type="http://schemas.openxmlformats.org/officeDocument/2006/relationships/externalLink" Target="externalLinks/externalLink731.xml"/><Relationship Id="rId966" Type="http://schemas.openxmlformats.org/officeDocument/2006/relationships/externalLink" Target="externalLinks/externalLink938.xml"/><Relationship Id="rId11" Type="http://schemas.openxmlformats.org/officeDocument/2006/relationships/worksheet" Target="worksheets/sheet11.xml"/><Relationship Id="rId314" Type="http://schemas.openxmlformats.org/officeDocument/2006/relationships/externalLink" Target="externalLinks/externalLink286.xml"/><Relationship Id="rId398" Type="http://schemas.openxmlformats.org/officeDocument/2006/relationships/externalLink" Target="externalLinks/externalLink370.xml"/><Relationship Id="rId521" Type="http://schemas.openxmlformats.org/officeDocument/2006/relationships/externalLink" Target="externalLinks/externalLink493.xml"/><Relationship Id="rId619" Type="http://schemas.openxmlformats.org/officeDocument/2006/relationships/externalLink" Target="externalLinks/externalLink591.xml"/><Relationship Id="rId95" Type="http://schemas.openxmlformats.org/officeDocument/2006/relationships/externalLink" Target="externalLinks/externalLink67.xml"/><Relationship Id="rId160" Type="http://schemas.openxmlformats.org/officeDocument/2006/relationships/externalLink" Target="externalLinks/externalLink132.xml"/><Relationship Id="rId826" Type="http://schemas.openxmlformats.org/officeDocument/2006/relationships/externalLink" Target="externalLinks/externalLink798.xml"/><Relationship Id="rId1011" Type="http://schemas.openxmlformats.org/officeDocument/2006/relationships/externalLink" Target="externalLinks/externalLink983.xml"/><Relationship Id="rId1109" Type="http://schemas.openxmlformats.org/officeDocument/2006/relationships/externalLink" Target="externalLinks/externalLink1081.xml"/><Relationship Id="rId258" Type="http://schemas.openxmlformats.org/officeDocument/2006/relationships/externalLink" Target="externalLinks/externalLink230.xml"/><Relationship Id="rId465" Type="http://schemas.openxmlformats.org/officeDocument/2006/relationships/externalLink" Target="externalLinks/externalLink437.xml"/><Relationship Id="rId672" Type="http://schemas.openxmlformats.org/officeDocument/2006/relationships/externalLink" Target="externalLinks/externalLink644.xml"/><Relationship Id="rId1095" Type="http://schemas.openxmlformats.org/officeDocument/2006/relationships/externalLink" Target="externalLinks/externalLink1067.xml"/><Relationship Id="rId22" Type="http://schemas.openxmlformats.org/officeDocument/2006/relationships/worksheet" Target="worksheets/sheet22.xml"/><Relationship Id="rId118" Type="http://schemas.openxmlformats.org/officeDocument/2006/relationships/externalLink" Target="externalLinks/externalLink90.xml"/><Relationship Id="rId325" Type="http://schemas.openxmlformats.org/officeDocument/2006/relationships/externalLink" Target="externalLinks/externalLink297.xml"/><Relationship Id="rId532" Type="http://schemas.openxmlformats.org/officeDocument/2006/relationships/externalLink" Target="externalLinks/externalLink504.xml"/><Relationship Id="rId977" Type="http://schemas.openxmlformats.org/officeDocument/2006/relationships/externalLink" Target="externalLinks/externalLink949.xml"/><Relationship Id="rId171" Type="http://schemas.openxmlformats.org/officeDocument/2006/relationships/externalLink" Target="externalLinks/externalLink143.xml"/><Relationship Id="rId837" Type="http://schemas.openxmlformats.org/officeDocument/2006/relationships/externalLink" Target="externalLinks/externalLink809.xml"/><Relationship Id="rId1022" Type="http://schemas.openxmlformats.org/officeDocument/2006/relationships/externalLink" Target="externalLinks/externalLink994.xml"/><Relationship Id="rId269" Type="http://schemas.openxmlformats.org/officeDocument/2006/relationships/externalLink" Target="externalLinks/externalLink241.xml"/><Relationship Id="rId476" Type="http://schemas.openxmlformats.org/officeDocument/2006/relationships/externalLink" Target="externalLinks/externalLink448.xml"/><Relationship Id="rId683" Type="http://schemas.openxmlformats.org/officeDocument/2006/relationships/externalLink" Target="externalLinks/externalLink655.xml"/><Relationship Id="rId890" Type="http://schemas.openxmlformats.org/officeDocument/2006/relationships/externalLink" Target="externalLinks/externalLink862.xml"/><Relationship Id="rId904" Type="http://schemas.openxmlformats.org/officeDocument/2006/relationships/externalLink" Target="externalLinks/externalLink876.xml"/><Relationship Id="rId33" Type="http://schemas.openxmlformats.org/officeDocument/2006/relationships/externalLink" Target="externalLinks/externalLink5.xml"/><Relationship Id="rId129" Type="http://schemas.openxmlformats.org/officeDocument/2006/relationships/externalLink" Target="externalLinks/externalLink101.xml"/><Relationship Id="rId336" Type="http://schemas.openxmlformats.org/officeDocument/2006/relationships/externalLink" Target="externalLinks/externalLink308.xml"/><Relationship Id="rId543" Type="http://schemas.openxmlformats.org/officeDocument/2006/relationships/externalLink" Target="externalLinks/externalLink515.xml"/><Relationship Id="rId988" Type="http://schemas.openxmlformats.org/officeDocument/2006/relationships/externalLink" Target="externalLinks/externalLink960.xml"/><Relationship Id="rId182" Type="http://schemas.openxmlformats.org/officeDocument/2006/relationships/externalLink" Target="externalLinks/externalLink154.xml"/><Relationship Id="rId403" Type="http://schemas.openxmlformats.org/officeDocument/2006/relationships/externalLink" Target="externalLinks/externalLink375.xml"/><Relationship Id="rId750" Type="http://schemas.openxmlformats.org/officeDocument/2006/relationships/externalLink" Target="externalLinks/externalLink722.xml"/><Relationship Id="rId848" Type="http://schemas.openxmlformats.org/officeDocument/2006/relationships/externalLink" Target="externalLinks/externalLink820.xml"/><Relationship Id="rId1033" Type="http://schemas.openxmlformats.org/officeDocument/2006/relationships/externalLink" Target="externalLinks/externalLink1005.xml"/><Relationship Id="rId487" Type="http://schemas.openxmlformats.org/officeDocument/2006/relationships/externalLink" Target="externalLinks/externalLink459.xml"/><Relationship Id="rId610" Type="http://schemas.openxmlformats.org/officeDocument/2006/relationships/externalLink" Target="externalLinks/externalLink582.xml"/><Relationship Id="rId694" Type="http://schemas.openxmlformats.org/officeDocument/2006/relationships/externalLink" Target="externalLinks/externalLink666.xml"/><Relationship Id="rId708" Type="http://schemas.openxmlformats.org/officeDocument/2006/relationships/externalLink" Target="externalLinks/externalLink680.xml"/><Relationship Id="rId915" Type="http://schemas.openxmlformats.org/officeDocument/2006/relationships/externalLink" Target="externalLinks/externalLink887.xml"/><Relationship Id="rId347" Type="http://schemas.openxmlformats.org/officeDocument/2006/relationships/externalLink" Target="externalLinks/externalLink319.xml"/><Relationship Id="rId999" Type="http://schemas.openxmlformats.org/officeDocument/2006/relationships/externalLink" Target="externalLinks/externalLink971.xml"/><Relationship Id="rId1100" Type="http://schemas.openxmlformats.org/officeDocument/2006/relationships/externalLink" Target="externalLinks/externalLink1072.xml"/><Relationship Id="rId44" Type="http://schemas.openxmlformats.org/officeDocument/2006/relationships/externalLink" Target="externalLinks/externalLink16.xml"/><Relationship Id="rId554" Type="http://schemas.openxmlformats.org/officeDocument/2006/relationships/externalLink" Target="externalLinks/externalLink526.xml"/><Relationship Id="rId761" Type="http://schemas.openxmlformats.org/officeDocument/2006/relationships/externalLink" Target="externalLinks/externalLink733.xml"/><Relationship Id="rId859" Type="http://schemas.openxmlformats.org/officeDocument/2006/relationships/externalLink" Target="externalLinks/externalLink831.xml"/><Relationship Id="rId193" Type="http://schemas.openxmlformats.org/officeDocument/2006/relationships/externalLink" Target="externalLinks/externalLink165.xml"/><Relationship Id="rId207" Type="http://schemas.openxmlformats.org/officeDocument/2006/relationships/externalLink" Target="externalLinks/externalLink179.xml"/><Relationship Id="rId414" Type="http://schemas.openxmlformats.org/officeDocument/2006/relationships/externalLink" Target="externalLinks/externalLink386.xml"/><Relationship Id="rId498" Type="http://schemas.openxmlformats.org/officeDocument/2006/relationships/externalLink" Target="externalLinks/externalLink470.xml"/><Relationship Id="rId621" Type="http://schemas.openxmlformats.org/officeDocument/2006/relationships/externalLink" Target="externalLinks/externalLink593.xml"/><Relationship Id="rId1044" Type="http://schemas.openxmlformats.org/officeDocument/2006/relationships/externalLink" Target="externalLinks/externalLink1016.xml"/><Relationship Id="rId260" Type="http://schemas.openxmlformats.org/officeDocument/2006/relationships/externalLink" Target="externalLinks/externalLink232.xml"/><Relationship Id="rId719" Type="http://schemas.openxmlformats.org/officeDocument/2006/relationships/externalLink" Target="externalLinks/externalLink691.xml"/><Relationship Id="rId926" Type="http://schemas.openxmlformats.org/officeDocument/2006/relationships/externalLink" Target="externalLinks/externalLink898.xml"/><Relationship Id="rId1111" Type="http://schemas.openxmlformats.org/officeDocument/2006/relationships/externalLink" Target="externalLinks/externalLink1083.xml"/><Relationship Id="rId55" Type="http://schemas.openxmlformats.org/officeDocument/2006/relationships/externalLink" Target="externalLinks/externalLink27.xml"/><Relationship Id="rId120" Type="http://schemas.openxmlformats.org/officeDocument/2006/relationships/externalLink" Target="externalLinks/externalLink92.xml"/><Relationship Id="rId358" Type="http://schemas.openxmlformats.org/officeDocument/2006/relationships/externalLink" Target="externalLinks/externalLink330.xml"/><Relationship Id="rId565" Type="http://schemas.openxmlformats.org/officeDocument/2006/relationships/externalLink" Target="externalLinks/externalLink537.xml"/><Relationship Id="rId772" Type="http://schemas.openxmlformats.org/officeDocument/2006/relationships/externalLink" Target="externalLinks/externalLink744.xml"/><Relationship Id="rId218" Type="http://schemas.openxmlformats.org/officeDocument/2006/relationships/externalLink" Target="externalLinks/externalLink190.xml"/><Relationship Id="rId425" Type="http://schemas.openxmlformats.org/officeDocument/2006/relationships/externalLink" Target="externalLinks/externalLink397.xml"/><Relationship Id="rId632" Type="http://schemas.openxmlformats.org/officeDocument/2006/relationships/externalLink" Target="externalLinks/externalLink604.xml"/><Relationship Id="rId1055" Type="http://schemas.openxmlformats.org/officeDocument/2006/relationships/externalLink" Target="externalLinks/externalLink1027.xml"/><Relationship Id="rId271" Type="http://schemas.openxmlformats.org/officeDocument/2006/relationships/externalLink" Target="externalLinks/externalLink243.xml"/><Relationship Id="rId937" Type="http://schemas.openxmlformats.org/officeDocument/2006/relationships/externalLink" Target="externalLinks/externalLink909.xml"/><Relationship Id="rId1122" Type="http://schemas.openxmlformats.org/officeDocument/2006/relationships/externalLink" Target="externalLinks/externalLink1094.xml"/><Relationship Id="rId66" Type="http://schemas.openxmlformats.org/officeDocument/2006/relationships/externalLink" Target="externalLinks/externalLink38.xml"/><Relationship Id="rId131" Type="http://schemas.openxmlformats.org/officeDocument/2006/relationships/externalLink" Target="externalLinks/externalLink103.xml"/><Relationship Id="rId369" Type="http://schemas.openxmlformats.org/officeDocument/2006/relationships/externalLink" Target="externalLinks/externalLink341.xml"/><Relationship Id="rId576" Type="http://schemas.openxmlformats.org/officeDocument/2006/relationships/externalLink" Target="externalLinks/externalLink548.xml"/><Relationship Id="rId783" Type="http://schemas.openxmlformats.org/officeDocument/2006/relationships/externalLink" Target="externalLinks/externalLink755.xml"/><Relationship Id="rId990" Type="http://schemas.openxmlformats.org/officeDocument/2006/relationships/externalLink" Target="externalLinks/externalLink962.xml"/><Relationship Id="rId229" Type="http://schemas.openxmlformats.org/officeDocument/2006/relationships/externalLink" Target="externalLinks/externalLink201.xml"/><Relationship Id="rId436" Type="http://schemas.openxmlformats.org/officeDocument/2006/relationships/externalLink" Target="externalLinks/externalLink408.xml"/><Relationship Id="rId643" Type="http://schemas.openxmlformats.org/officeDocument/2006/relationships/externalLink" Target="externalLinks/externalLink615.xml"/><Relationship Id="rId1066" Type="http://schemas.openxmlformats.org/officeDocument/2006/relationships/externalLink" Target="externalLinks/externalLink1038.xml"/><Relationship Id="rId850" Type="http://schemas.openxmlformats.org/officeDocument/2006/relationships/externalLink" Target="externalLinks/externalLink822.xml"/><Relationship Id="rId948" Type="http://schemas.openxmlformats.org/officeDocument/2006/relationships/externalLink" Target="externalLinks/externalLink920.xml"/><Relationship Id="rId1133" Type="http://schemas.openxmlformats.org/officeDocument/2006/relationships/customXml" Target="../customXml/item1.xml"/><Relationship Id="rId77" Type="http://schemas.openxmlformats.org/officeDocument/2006/relationships/externalLink" Target="externalLinks/externalLink49.xml"/><Relationship Id="rId282" Type="http://schemas.openxmlformats.org/officeDocument/2006/relationships/externalLink" Target="externalLinks/externalLink254.xml"/><Relationship Id="rId503" Type="http://schemas.openxmlformats.org/officeDocument/2006/relationships/externalLink" Target="externalLinks/externalLink475.xml"/><Relationship Id="rId587" Type="http://schemas.openxmlformats.org/officeDocument/2006/relationships/externalLink" Target="externalLinks/externalLink559.xml"/><Relationship Id="rId710" Type="http://schemas.openxmlformats.org/officeDocument/2006/relationships/externalLink" Target="externalLinks/externalLink682.xml"/><Relationship Id="rId808" Type="http://schemas.openxmlformats.org/officeDocument/2006/relationships/externalLink" Target="externalLinks/externalLink780.xml"/><Relationship Id="rId8" Type="http://schemas.openxmlformats.org/officeDocument/2006/relationships/worksheet" Target="worksheets/sheet8.xml"/><Relationship Id="rId142" Type="http://schemas.openxmlformats.org/officeDocument/2006/relationships/externalLink" Target="externalLinks/externalLink114.xml"/><Relationship Id="rId447" Type="http://schemas.openxmlformats.org/officeDocument/2006/relationships/externalLink" Target="externalLinks/externalLink419.xml"/><Relationship Id="rId794" Type="http://schemas.openxmlformats.org/officeDocument/2006/relationships/externalLink" Target="externalLinks/externalLink766.xml"/><Relationship Id="rId1077" Type="http://schemas.openxmlformats.org/officeDocument/2006/relationships/externalLink" Target="externalLinks/externalLink1049.xml"/><Relationship Id="rId654" Type="http://schemas.openxmlformats.org/officeDocument/2006/relationships/externalLink" Target="externalLinks/externalLink626.xml"/><Relationship Id="rId861" Type="http://schemas.openxmlformats.org/officeDocument/2006/relationships/externalLink" Target="externalLinks/externalLink833.xml"/><Relationship Id="rId959" Type="http://schemas.openxmlformats.org/officeDocument/2006/relationships/externalLink" Target="externalLinks/externalLink931.xml"/><Relationship Id="rId293" Type="http://schemas.openxmlformats.org/officeDocument/2006/relationships/externalLink" Target="externalLinks/externalLink265.xml"/><Relationship Id="rId307" Type="http://schemas.openxmlformats.org/officeDocument/2006/relationships/externalLink" Target="externalLinks/externalLink279.xml"/><Relationship Id="rId514" Type="http://schemas.openxmlformats.org/officeDocument/2006/relationships/externalLink" Target="externalLinks/externalLink486.xml"/><Relationship Id="rId721" Type="http://schemas.openxmlformats.org/officeDocument/2006/relationships/externalLink" Target="externalLinks/externalLink693.xml"/><Relationship Id="rId88" Type="http://schemas.openxmlformats.org/officeDocument/2006/relationships/externalLink" Target="externalLinks/externalLink60.xml"/><Relationship Id="rId153" Type="http://schemas.openxmlformats.org/officeDocument/2006/relationships/externalLink" Target="externalLinks/externalLink125.xml"/><Relationship Id="rId360" Type="http://schemas.openxmlformats.org/officeDocument/2006/relationships/externalLink" Target="externalLinks/externalLink332.xml"/><Relationship Id="rId598" Type="http://schemas.openxmlformats.org/officeDocument/2006/relationships/externalLink" Target="externalLinks/externalLink570.xml"/><Relationship Id="rId819" Type="http://schemas.openxmlformats.org/officeDocument/2006/relationships/externalLink" Target="externalLinks/externalLink791.xml"/><Relationship Id="rId1004" Type="http://schemas.openxmlformats.org/officeDocument/2006/relationships/externalLink" Target="externalLinks/externalLink976.xml"/><Relationship Id="rId220" Type="http://schemas.openxmlformats.org/officeDocument/2006/relationships/externalLink" Target="externalLinks/externalLink192.xml"/><Relationship Id="rId458" Type="http://schemas.openxmlformats.org/officeDocument/2006/relationships/externalLink" Target="externalLinks/externalLink430.xml"/><Relationship Id="rId665" Type="http://schemas.openxmlformats.org/officeDocument/2006/relationships/externalLink" Target="externalLinks/externalLink637.xml"/><Relationship Id="rId872" Type="http://schemas.openxmlformats.org/officeDocument/2006/relationships/externalLink" Target="externalLinks/externalLink844.xml"/><Relationship Id="rId1088" Type="http://schemas.openxmlformats.org/officeDocument/2006/relationships/externalLink" Target="externalLinks/externalLink1060.xml"/><Relationship Id="rId15" Type="http://schemas.openxmlformats.org/officeDocument/2006/relationships/worksheet" Target="worksheets/sheet15.xml"/><Relationship Id="rId318" Type="http://schemas.openxmlformats.org/officeDocument/2006/relationships/externalLink" Target="externalLinks/externalLink290.xml"/><Relationship Id="rId525" Type="http://schemas.openxmlformats.org/officeDocument/2006/relationships/externalLink" Target="externalLinks/externalLink497.xml"/><Relationship Id="rId732" Type="http://schemas.openxmlformats.org/officeDocument/2006/relationships/externalLink" Target="externalLinks/externalLink704.xml"/><Relationship Id="rId99" Type="http://schemas.openxmlformats.org/officeDocument/2006/relationships/externalLink" Target="externalLinks/externalLink71.xml"/><Relationship Id="rId164" Type="http://schemas.openxmlformats.org/officeDocument/2006/relationships/externalLink" Target="externalLinks/externalLink136.xml"/><Relationship Id="rId371" Type="http://schemas.openxmlformats.org/officeDocument/2006/relationships/externalLink" Target="externalLinks/externalLink343.xml"/><Relationship Id="rId1015" Type="http://schemas.openxmlformats.org/officeDocument/2006/relationships/externalLink" Target="externalLinks/externalLink987.xml"/><Relationship Id="rId469" Type="http://schemas.openxmlformats.org/officeDocument/2006/relationships/externalLink" Target="externalLinks/externalLink441.xml"/><Relationship Id="rId676" Type="http://schemas.openxmlformats.org/officeDocument/2006/relationships/externalLink" Target="externalLinks/externalLink648.xml"/><Relationship Id="rId883" Type="http://schemas.openxmlformats.org/officeDocument/2006/relationships/externalLink" Target="externalLinks/externalLink855.xml"/><Relationship Id="rId1099" Type="http://schemas.openxmlformats.org/officeDocument/2006/relationships/externalLink" Target="externalLinks/externalLink1071.xml"/><Relationship Id="rId26" Type="http://schemas.openxmlformats.org/officeDocument/2006/relationships/worksheet" Target="worksheets/sheet26.xml"/><Relationship Id="rId231" Type="http://schemas.openxmlformats.org/officeDocument/2006/relationships/externalLink" Target="externalLinks/externalLink203.xml"/><Relationship Id="rId329" Type="http://schemas.openxmlformats.org/officeDocument/2006/relationships/externalLink" Target="externalLinks/externalLink301.xml"/><Relationship Id="rId536" Type="http://schemas.openxmlformats.org/officeDocument/2006/relationships/externalLink" Target="externalLinks/externalLink508.xml"/><Relationship Id="rId175" Type="http://schemas.openxmlformats.org/officeDocument/2006/relationships/externalLink" Target="externalLinks/externalLink147.xml"/><Relationship Id="rId743" Type="http://schemas.openxmlformats.org/officeDocument/2006/relationships/externalLink" Target="externalLinks/externalLink715.xml"/><Relationship Id="rId950" Type="http://schemas.openxmlformats.org/officeDocument/2006/relationships/externalLink" Target="externalLinks/externalLink922.xml"/><Relationship Id="rId1026" Type="http://schemas.openxmlformats.org/officeDocument/2006/relationships/externalLink" Target="externalLinks/externalLink998.xml"/><Relationship Id="rId382" Type="http://schemas.openxmlformats.org/officeDocument/2006/relationships/externalLink" Target="externalLinks/externalLink354.xml"/><Relationship Id="rId603" Type="http://schemas.openxmlformats.org/officeDocument/2006/relationships/externalLink" Target="externalLinks/externalLink575.xml"/><Relationship Id="rId687" Type="http://schemas.openxmlformats.org/officeDocument/2006/relationships/externalLink" Target="externalLinks/externalLink659.xml"/><Relationship Id="rId810" Type="http://schemas.openxmlformats.org/officeDocument/2006/relationships/externalLink" Target="externalLinks/externalLink782.xml"/><Relationship Id="rId908" Type="http://schemas.openxmlformats.org/officeDocument/2006/relationships/externalLink" Target="externalLinks/externalLink880.xml"/><Relationship Id="rId242" Type="http://schemas.openxmlformats.org/officeDocument/2006/relationships/externalLink" Target="externalLinks/externalLink214.xml"/><Relationship Id="rId894" Type="http://schemas.openxmlformats.org/officeDocument/2006/relationships/externalLink" Target="externalLinks/externalLink866.xml"/><Relationship Id="rId37" Type="http://schemas.openxmlformats.org/officeDocument/2006/relationships/externalLink" Target="externalLinks/externalLink9.xml"/><Relationship Id="rId102" Type="http://schemas.openxmlformats.org/officeDocument/2006/relationships/externalLink" Target="externalLinks/externalLink74.xml"/><Relationship Id="rId547" Type="http://schemas.openxmlformats.org/officeDocument/2006/relationships/externalLink" Target="externalLinks/externalLink519.xml"/><Relationship Id="rId754" Type="http://schemas.openxmlformats.org/officeDocument/2006/relationships/externalLink" Target="externalLinks/externalLink726.xml"/><Relationship Id="rId961" Type="http://schemas.openxmlformats.org/officeDocument/2006/relationships/externalLink" Target="externalLinks/externalLink933.xml"/><Relationship Id="rId90" Type="http://schemas.openxmlformats.org/officeDocument/2006/relationships/externalLink" Target="externalLinks/externalLink62.xml"/><Relationship Id="rId186" Type="http://schemas.openxmlformats.org/officeDocument/2006/relationships/externalLink" Target="externalLinks/externalLink158.xml"/><Relationship Id="rId393" Type="http://schemas.openxmlformats.org/officeDocument/2006/relationships/externalLink" Target="externalLinks/externalLink365.xml"/><Relationship Id="rId407" Type="http://schemas.openxmlformats.org/officeDocument/2006/relationships/externalLink" Target="externalLinks/externalLink379.xml"/><Relationship Id="rId614" Type="http://schemas.openxmlformats.org/officeDocument/2006/relationships/externalLink" Target="externalLinks/externalLink586.xml"/><Relationship Id="rId821" Type="http://schemas.openxmlformats.org/officeDocument/2006/relationships/externalLink" Target="externalLinks/externalLink793.xml"/><Relationship Id="rId1037" Type="http://schemas.openxmlformats.org/officeDocument/2006/relationships/externalLink" Target="externalLinks/externalLink1009.xml"/><Relationship Id="rId253" Type="http://schemas.openxmlformats.org/officeDocument/2006/relationships/externalLink" Target="externalLinks/externalLink225.xml"/><Relationship Id="rId460" Type="http://schemas.openxmlformats.org/officeDocument/2006/relationships/externalLink" Target="externalLinks/externalLink432.xml"/><Relationship Id="rId698" Type="http://schemas.openxmlformats.org/officeDocument/2006/relationships/externalLink" Target="externalLinks/externalLink670.xml"/><Relationship Id="rId919" Type="http://schemas.openxmlformats.org/officeDocument/2006/relationships/externalLink" Target="externalLinks/externalLink891.xml"/><Relationship Id="rId1090" Type="http://schemas.openxmlformats.org/officeDocument/2006/relationships/externalLink" Target="externalLinks/externalLink1062.xml"/><Relationship Id="rId1104" Type="http://schemas.openxmlformats.org/officeDocument/2006/relationships/externalLink" Target="externalLinks/externalLink1076.xml"/><Relationship Id="rId48" Type="http://schemas.openxmlformats.org/officeDocument/2006/relationships/externalLink" Target="externalLinks/externalLink20.xml"/><Relationship Id="rId113" Type="http://schemas.openxmlformats.org/officeDocument/2006/relationships/externalLink" Target="externalLinks/externalLink85.xml"/><Relationship Id="rId320" Type="http://schemas.openxmlformats.org/officeDocument/2006/relationships/externalLink" Target="externalLinks/externalLink292.xml"/><Relationship Id="rId558" Type="http://schemas.openxmlformats.org/officeDocument/2006/relationships/externalLink" Target="externalLinks/externalLink530.xml"/><Relationship Id="rId765" Type="http://schemas.openxmlformats.org/officeDocument/2006/relationships/externalLink" Target="externalLinks/externalLink737.xml"/><Relationship Id="rId972" Type="http://schemas.openxmlformats.org/officeDocument/2006/relationships/externalLink" Target="externalLinks/externalLink944.xml"/><Relationship Id="rId197" Type="http://schemas.openxmlformats.org/officeDocument/2006/relationships/externalLink" Target="externalLinks/externalLink169.xml"/><Relationship Id="rId418" Type="http://schemas.openxmlformats.org/officeDocument/2006/relationships/externalLink" Target="externalLinks/externalLink390.xml"/><Relationship Id="rId625" Type="http://schemas.openxmlformats.org/officeDocument/2006/relationships/externalLink" Target="externalLinks/externalLink597.xml"/><Relationship Id="rId832" Type="http://schemas.openxmlformats.org/officeDocument/2006/relationships/externalLink" Target="externalLinks/externalLink804.xml"/><Relationship Id="rId1048" Type="http://schemas.openxmlformats.org/officeDocument/2006/relationships/externalLink" Target="externalLinks/externalLink1020.xml"/><Relationship Id="rId264" Type="http://schemas.openxmlformats.org/officeDocument/2006/relationships/externalLink" Target="externalLinks/externalLink236.xml"/><Relationship Id="rId471" Type="http://schemas.openxmlformats.org/officeDocument/2006/relationships/externalLink" Target="externalLinks/externalLink443.xml"/><Relationship Id="rId1115" Type="http://schemas.openxmlformats.org/officeDocument/2006/relationships/externalLink" Target="externalLinks/externalLink1087.xml"/><Relationship Id="rId59" Type="http://schemas.openxmlformats.org/officeDocument/2006/relationships/externalLink" Target="externalLinks/externalLink31.xml"/><Relationship Id="rId124" Type="http://schemas.openxmlformats.org/officeDocument/2006/relationships/externalLink" Target="externalLinks/externalLink96.xml"/><Relationship Id="rId569" Type="http://schemas.openxmlformats.org/officeDocument/2006/relationships/externalLink" Target="externalLinks/externalLink541.xml"/><Relationship Id="rId776" Type="http://schemas.openxmlformats.org/officeDocument/2006/relationships/externalLink" Target="externalLinks/externalLink748.xml"/><Relationship Id="rId983" Type="http://schemas.openxmlformats.org/officeDocument/2006/relationships/externalLink" Target="externalLinks/externalLink955.xml"/><Relationship Id="rId331" Type="http://schemas.openxmlformats.org/officeDocument/2006/relationships/externalLink" Target="externalLinks/externalLink303.xml"/><Relationship Id="rId429" Type="http://schemas.openxmlformats.org/officeDocument/2006/relationships/externalLink" Target="externalLinks/externalLink401.xml"/><Relationship Id="rId636" Type="http://schemas.openxmlformats.org/officeDocument/2006/relationships/externalLink" Target="externalLinks/externalLink608.xml"/><Relationship Id="rId1059" Type="http://schemas.openxmlformats.org/officeDocument/2006/relationships/externalLink" Target="externalLinks/externalLink1031.xml"/><Relationship Id="rId843" Type="http://schemas.openxmlformats.org/officeDocument/2006/relationships/externalLink" Target="externalLinks/externalLink815.xml"/><Relationship Id="rId1126" Type="http://schemas.openxmlformats.org/officeDocument/2006/relationships/externalLink" Target="externalLinks/externalLink1098.xml"/><Relationship Id="rId275" Type="http://schemas.openxmlformats.org/officeDocument/2006/relationships/externalLink" Target="externalLinks/externalLink247.xml"/><Relationship Id="rId482" Type="http://schemas.openxmlformats.org/officeDocument/2006/relationships/externalLink" Target="externalLinks/externalLink454.xml"/><Relationship Id="rId703" Type="http://schemas.openxmlformats.org/officeDocument/2006/relationships/externalLink" Target="externalLinks/externalLink675.xml"/><Relationship Id="rId910" Type="http://schemas.openxmlformats.org/officeDocument/2006/relationships/externalLink" Target="externalLinks/externalLink882.xml"/><Relationship Id="rId135" Type="http://schemas.openxmlformats.org/officeDocument/2006/relationships/externalLink" Target="externalLinks/externalLink107.xml"/><Relationship Id="rId342" Type="http://schemas.openxmlformats.org/officeDocument/2006/relationships/externalLink" Target="externalLinks/externalLink314.xml"/><Relationship Id="rId787" Type="http://schemas.openxmlformats.org/officeDocument/2006/relationships/externalLink" Target="externalLinks/externalLink759.xml"/><Relationship Id="rId994" Type="http://schemas.openxmlformats.org/officeDocument/2006/relationships/externalLink" Target="externalLinks/externalLink966.xml"/><Relationship Id="rId202" Type="http://schemas.openxmlformats.org/officeDocument/2006/relationships/externalLink" Target="externalLinks/externalLink174.xml"/><Relationship Id="rId647" Type="http://schemas.openxmlformats.org/officeDocument/2006/relationships/externalLink" Target="externalLinks/externalLink619.xml"/><Relationship Id="rId854" Type="http://schemas.openxmlformats.org/officeDocument/2006/relationships/externalLink" Target="externalLinks/externalLink826.xml"/><Relationship Id="rId286" Type="http://schemas.openxmlformats.org/officeDocument/2006/relationships/externalLink" Target="externalLinks/externalLink258.xml"/><Relationship Id="rId493" Type="http://schemas.openxmlformats.org/officeDocument/2006/relationships/externalLink" Target="externalLinks/externalLink465.xml"/><Relationship Id="rId507" Type="http://schemas.openxmlformats.org/officeDocument/2006/relationships/externalLink" Target="externalLinks/externalLink479.xml"/><Relationship Id="rId714" Type="http://schemas.openxmlformats.org/officeDocument/2006/relationships/externalLink" Target="externalLinks/externalLink686.xml"/><Relationship Id="rId921" Type="http://schemas.openxmlformats.org/officeDocument/2006/relationships/externalLink" Target="externalLinks/externalLink893.xml"/><Relationship Id="rId50" Type="http://schemas.openxmlformats.org/officeDocument/2006/relationships/externalLink" Target="externalLinks/externalLink22.xml"/><Relationship Id="rId146" Type="http://schemas.openxmlformats.org/officeDocument/2006/relationships/externalLink" Target="externalLinks/externalLink118.xml"/><Relationship Id="rId353" Type="http://schemas.openxmlformats.org/officeDocument/2006/relationships/externalLink" Target="externalLinks/externalLink325.xml"/><Relationship Id="rId560" Type="http://schemas.openxmlformats.org/officeDocument/2006/relationships/externalLink" Target="externalLinks/externalLink532.xml"/><Relationship Id="rId798" Type="http://schemas.openxmlformats.org/officeDocument/2006/relationships/externalLink" Target="externalLinks/externalLink770.xml"/><Relationship Id="rId213" Type="http://schemas.openxmlformats.org/officeDocument/2006/relationships/externalLink" Target="externalLinks/externalLink185.xml"/><Relationship Id="rId420" Type="http://schemas.openxmlformats.org/officeDocument/2006/relationships/externalLink" Target="externalLinks/externalLink392.xml"/><Relationship Id="rId658" Type="http://schemas.openxmlformats.org/officeDocument/2006/relationships/externalLink" Target="externalLinks/externalLink630.xml"/><Relationship Id="rId865" Type="http://schemas.openxmlformats.org/officeDocument/2006/relationships/externalLink" Target="externalLinks/externalLink837.xml"/><Relationship Id="rId1050" Type="http://schemas.openxmlformats.org/officeDocument/2006/relationships/externalLink" Target="externalLinks/externalLink1022.xml"/><Relationship Id="rId297" Type="http://schemas.openxmlformats.org/officeDocument/2006/relationships/externalLink" Target="externalLinks/externalLink269.xml"/><Relationship Id="rId518" Type="http://schemas.openxmlformats.org/officeDocument/2006/relationships/externalLink" Target="externalLinks/externalLink490.xml"/><Relationship Id="rId725" Type="http://schemas.openxmlformats.org/officeDocument/2006/relationships/externalLink" Target="externalLinks/externalLink697.xml"/><Relationship Id="rId932" Type="http://schemas.openxmlformats.org/officeDocument/2006/relationships/externalLink" Target="externalLinks/externalLink904.xml"/><Relationship Id="rId157" Type="http://schemas.openxmlformats.org/officeDocument/2006/relationships/externalLink" Target="externalLinks/externalLink129.xml"/><Relationship Id="rId364" Type="http://schemas.openxmlformats.org/officeDocument/2006/relationships/externalLink" Target="externalLinks/externalLink336.xml"/><Relationship Id="rId1008" Type="http://schemas.openxmlformats.org/officeDocument/2006/relationships/externalLink" Target="externalLinks/externalLink980.xml"/><Relationship Id="rId61" Type="http://schemas.openxmlformats.org/officeDocument/2006/relationships/externalLink" Target="externalLinks/externalLink33.xml"/><Relationship Id="rId571" Type="http://schemas.openxmlformats.org/officeDocument/2006/relationships/externalLink" Target="externalLinks/externalLink543.xml"/><Relationship Id="rId669" Type="http://schemas.openxmlformats.org/officeDocument/2006/relationships/externalLink" Target="externalLinks/externalLink641.xml"/><Relationship Id="rId876" Type="http://schemas.openxmlformats.org/officeDocument/2006/relationships/externalLink" Target="externalLinks/externalLink848.xml"/><Relationship Id="rId19" Type="http://schemas.openxmlformats.org/officeDocument/2006/relationships/worksheet" Target="worksheets/sheet19.xml"/><Relationship Id="rId224" Type="http://schemas.openxmlformats.org/officeDocument/2006/relationships/externalLink" Target="externalLinks/externalLink196.xml"/><Relationship Id="rId431" Type="http://schemas.openxmlformats.org/officeDocument/2006/relationships/externalLink" Target="externalLinks/externalLink403.xml"/><Relationship Id="rId529" Type="http://schemas.openxmlformats.org/officeDocument/2006/relationships/externalLink" Target="externalLinks/externalLink501.xml"/><Relationship Id="rId736" Type="http://schemas.openxmlformats.org/officeDocument/2006/relationships/externalLink" Target="externalLinks/externalLink708.xml"/><Relationship Id="rId1061" Type="http://schemas.openxmlformats.org/officeDocument/2006/relationships/externalLink" Target="externalLinks/externalLink1033.xml"/><Relationship Id="rId168" Type="http://schemas.openxmlformats.org/officeDocument/2006/relationships/externalLink" Target="externalLinks/externalLink140.xml"/><Relationship Id="rId943" Type="http://schemas.openxmlformats.org/officeDocument/2006/relationships/externalLink" Target="externalLinks/externalLink915.xml"/><Relationship Id="rId1019" Type="http://schemas.openxmlformats.org/officeDocument/2006/relationships/externalLink" Target="externalLinks/externalLink991.xml"/><Relationship Id="rId72" Type="http://schemas.openxmlformats.org/officeDocument/2006/relationships/externalLink" Target="externalLinks/externalLink44.xml"/><Relationship Id="rId375" Type="http://schemas.openxmlformats.org/officeDocument/2006/relationships/externalLink" Target="externalLinks/externalLink347.xml"/><Relationship Id="rId582" Type="http://schemas.openxmlformats.org/officeDocument/2006/relationships/externalLink" Target="externalLinks/externalLink554.xml"/><Relationship Id="rId803" Type="http://schemas.openxmlformats.org/officeDocument/2006/relationships/externalLink" Target="externalLinks/externalLink775.xml"/><Relationship Id="rId3" Type="http://schemas.openxmlformats.org/officeDocument/2006/relationships/worksheet" Target="worksheets/sheet3.xml"/><Relationship Id="rId235" Type="http://schemas.openxmlformats.org/officeDocument/2006/relationships/externalLink" Target="externalLinks/externalLink207.xml"/><Relationship Id="rId442" Type="http://schemas.openxmlformats.org/officeDocument/2006/relationships/externalLink" Target="externalLinks/externalLink414.xml"/><Relationship Id="rId887" Type="http://schemas.openxmlformats.org/officeDocument/2006/relationships/externalLink" Target="externalLinks/externalLink859.xml"/><Relationship Id="rId1072" Type="http://schemas.openxmlformats.org/officeDocument/2006/relationships/externalLink" Target="externalLinks/externalLink1044.xml"/><Relationship Id="rId302" Type="http://schemas.openxmlformats.org/officeDocument/2006/relationships/externalLink" Target="externalLinks/externalLink274.xml"/><Relationship Id="rId747" Type="http://schemas.openxmlformats.org/officeDocument/2006/relationships/externalLink" Target="externalLinks/externalLink719.xml"/><Relationship Id="rId954" Type="http://schemas.openxmlformats.org/officeDocument/2006/relationships/externalLink" Target="externalLinks/externalLink926.xml"/><Relationship Id="rId83" Type="http://schemas.openxmlformats.org/officeDocument/2006/relationships/externalLink" Target="externalLinks/externalLink55.xml"/><Relationship Id="rId179" Type="http://schemas.openxmlformats.org/officeDocument/2006/relationships/externalLink" Target="externalLinks/externalLink151.xml"/><Relationship Id="rId386" Type="http://schemas.openxmlformats.org/officeDocument/2006/relationships/externalLink" Target="externalLinks/externalLink358.xml"/><Relationship Id="rId593" Type="http://schemas.openxmlformats.org/officeDocument/2006/relationships/externalLink" Target="externalLinks/externalLink565.xml"/><Relationship Id="rId607" Type="http://schemas.openxmlformats.org/officeDocument/2006/relationships/externalLink" Target="externalLinks/externalLink579.xml"/><Relationship Id="rId814" Type="http://schemas.openxmlformats.org/officeDocument/2006/relationships/externalLink" Target="externalLinks/externalLink786.xml"/><Relationship Id="rId246" Type="http://schemas.openxmlformats.org/officeDocument/2006/relationships/externalLink" Target="externalLinks/externalLink218.xml"/><Relationship Id="rId453" Type="http://schemas.openxmlformats.org/officeDocument/2006/relationships/externalLink" Target="externalLinks/externalLink425.xml"/><Relationship Id="rId660" Type="http://schemas.openxmlformats.org/officeDocument/2006/relationships/externalLink" Target="externalLinks/externalLink632.xml"/><Relationship Id="rId898" Type="http://schemas.openxmlformats.org/officeDocument/2006/relationships/externalLink" Target="externalLinks/externalLink870.xml"/><Relationship Id="rId1083" Type="http://schemas.openxmlformats.org/officeDocument/2006/relationships/externalLink" Target="externalLinks/externalLink1055.xml"/><Relationship Id="rId106" Type="http://schemas.openxmlformats.org/officeDocument/2006/relationships/externalLink" Target="externalLinks/externalLink78.xml"/><Relationship Id="rId313" Type="http://schemas.openxmlformats.org/officeDocument/2006/relationships/externalLink" Target="externalLinks/externalLink285.xml"/><Relationship Id="rId758" Type="http://schemas.openxmlformats.org/officeDocument/2006/relationships/externalLink" Target="externalLinks/externalLink730.xml"/><Relationship Id="rId965" Type="http://schemas.openxmlformats.org/officeDocument/2006/relationships/externalLink" Target="externalLinks/externalLink937.xml"/><Relationship Id="rId10" Type="http://schemas.openxmlformats.org/officeDocument/2006/relationships/worksheet" Target="worksheets/sheet10.xml"/><Relationship Id="rId94" Type="http://schemas.openxmlformats.org/officeDocument/2006/relationships/externalLink" Target="externalLinks/externalLink66.xml"/><Relationship Id="rId397" Type="http://schemas.openxmlformats.org/officeDocument/2006/relationships/externalLink" Target="externalLinks/externalLink369.xml"/><Relationship Id="rId520" Type="http://schemas.openxmlformats.org/officeDocument/2006/relationships/externalLink" Target="externalLinks/externalLink492.xml"/><Relationship Id="rId618" Type="http://schemas.openxmlformats.org/officeDocument/2006/relationships/externalLink" Target="externalLinks/externalLink590.xml"/><Relationship Id="rId825" Type="http://schemas.openxmlformats.org/officeDocument/2006/relationships/externalLink" Target="externalLinks/externalLink797.xml"/><Relationship Id="rId257" Type="http://schemas.openxmlformats.org/officeDocument/2006/relationships/externalLink" Target="externalLinks/externalLink229.xml"/><Relationship Id="rId464" Type="http://schemas.openxmlformats.org/officeDocument/2006/relationships/externalLink" Target="externalLinks/externalLink436.xml"/><Relationship Id="rId1010" Type="http://schemas.openxmlformats.org/officeDocument/2006/relationships/externalLink" Target="externalLinks/externalLink982.xml"/><Relationship Id="rId1094" Type="http://schemas.openxmlformats.org/officeDocument/2006/relationships/externalLink" Target="externalLinks/externalLink1066.xml"/><Relationship Id="rId1108" Type="http://schemas.openxmlformats.org/officeDocument/2006/relationships/externalLink" Target="externalLinks/externalLink1080.xml"/><Relationship Id="rId117" Type="http://schemas.openxmlformats.org/officeDocument/2006/relationships/externalLink" Target="externalLinks/externalLink89.xml"/><Relationship Id="rId671" Type="http://schemas.openxmlformats.org/officeDocument/2006/relationships/externalLink" Target="externalLinks/externalLink643.xml"/><Relationship Id="rId769" Type="http://schemas.openxmlformats.org/officeDocument/2006/relationships/externalLink" Target="externalLinks/externalLink741.xml"/><Relationship Id="rId976" Type="http://schemas.openxmlformats.org/officeDocument/2006/relationships/externalLink" Target="externalLinks/externalLink948.xml"/><Relationship Id="rId324" Type="http://schemas.openxmlformats.org/officeDocument/2006/relationships/externalLink" Target="externalLinks/externalLink296.xml"/><Relationship Id="rId531" Type="http://schemas.openxmlformats.org/officeDocument/2006/relationships/externalLink" Target="externalLinks/externalLink503.xml"/><Relationship Id="rId629" Type="http://schemas.openxmlformats.org/officeDocument/2006/relationships/externalLink" Target="externalLinks/externalLink601.xml"/><Relationship Id="rId836" Type="http://schemas.openxmlformats.org/officeDocument/2006/relationships/externalLink" Target="externalLinks/externalLink808.xml"/><Relationship Id="rId1021" Type="http://schemas.openxmlformats.org/officeDocument/2006/relationships/externalLink" Target="externalLinks/externalLink993.xml"/><Relationship Id="rId1119" Type="http://schemas.openxmlformats.org/officeDocument/2006/relationships/externalLink" Target="externalLinks/externalLink1091.xml"/><Relationship Id="rId903" Type="http://schemas.openxmlformats.org/officeDocument/2006/relationships/externalLink" Target="externalLinks/externalLink875.xml"/><Relationship Id="rId32" Type="http://schemas.openxmlformats.org/officeDocument/2006/relationships/externalLink" Target="externalLinks/externalLink4.xml"/><Relationship Id="rId181" Type="http://schemas.openxmlformats.org/officeDocument/2006/relationships/externalLink" Target="externalLinks/externalLink153.xml"/><Relationship Id="rId279" Type="http://schemas.openxmlformats.org/officeDocument/2006/relationships/externalLink" Target="externalLinks/externalLink251.xml"/><Relationship Id="rId486" Type="http://schemas.openxmlformats.org/officeDocument/2006/relationships/externalLink" Target="externalLinks/externalLink458.xml"/><Relationship Id="rId693" Type="http://schemas.openxmlformats.org/officeDocument/2006/relationships/externalLink" Target="externalLinks/externalLink665.xml"/><Relationship Id="rId139" Type="http://schemas.openxmlformats.org/officeDocument/2006/relationships/externalLink" Target="externalLinks/externalLink111.xml"/><Relationship Id="rId346" Type="http://schemas.openxmlformats.org/officeDocument/2006/relationships/externalLink" Target="externalLinks/externalLink318.xml"/><Relationship Id="rId553" Type="http://schemas.openxmlformats.org/officeDocument/2006/relationships/externalLink" Target="externalLinks/externalLink525.xml"/><Relationship Id="rId760" Type="http://schemas.openxmlformats.org/officeDocument/2006/relationships/externalLink" Target="externalLinks/externalLink732.xml"/><Relationship Id="rId998" Type="http://schemas.openxmlformats.org/officeDocument/2006/relationships/externalLink" Target="externalLinks/externalLink970.xml"/><Relationship Id="rId206" Type="http://schemas.openxmlformats.org/officeDocument/2006/relationships/externalLink" Target="externalLinks/externalLink178.xml"/><Relationship Id="rId413" Type="http://schemas.openxmlformats.org/officeDocument/2006/relationships/externalLink" Target="externalLinks/externalLink385.xml"/><Relationship Id="rId858" Type="http://schemas.openxmlformats.org/officeDocument/2006/relationships/externalLink" Target="externalLinks/externalLink830.xml"/><Relationship Id="rId1043" Type="http://schemas.openxmlformats.org/officeDocument/2006/relationships/externalLink" Target="externalLinks/externalLink1015.xml"/><Relationship Id="rId620" Type="http://schemas.openxmlformats.org/officeDocument/2006/relationships/externalLink" Target="externalLinks/externalLink592.xml"/><Relationship Id="rId718" Type="http://schemas.openxmlformats.org/officeDocument/2006/relationships/externalLink" Target="externalLinks/externalLink690.xml"/><Relationship Id="rId925" Type="http://schemas.openxmlformats.org/officeDocument/2006/relationships/externalLink" Target="externalLinks/externalLink897.xml"/><Relationship Id="rId1110" Type="http://schemas.openxmlformats.org/officeDocument/2006/relationships/externalLink" Target="externalLinks/externalLink1082.xml"/><Relationship Id="rId54" Type="http://schemas.openxmlformats.org/officeDocument/2006/relationships/externalLink" Target="externalLinks/externalLink26.xml"/><Relationship Id="rId270" Type="http://schemas.openxmlformats.org/officeDocument/2006/relationships/externalLink" Target="externalLinks/externalLink242.xml"/><Relationship Id="rId130" Type="http://schemas.openxmlformats.org/officeDocument/2006/relationships/externalLink" Target="externalLinks/externalLink102.xml"/><Relationship Id="rId368" Type="http://schemas.openxmlformats.org/officeDocument/2006/relationships/externalLink" Target="externalLinks/externalLink340.xml"/><Relationship Id="rId575" Type="http://schemas.openxmlformats.org/officeDocument/2006/relationships/externalLink" Target="externalLinks/externalLink547.xml"/><Relationship Id="rId782" Type="http://schemas.openxmlformats.org/officeDocument/2006/relationships/externalLink" Target="externalLinks/externalLink754.xml"/><Relationship Id="rId228" Type="http://schemas.openxmlformats.org/officeDocument/2006/relationships/externalLink" Target="externalLinks/externalLink200.xml"/><Relationship Id="rId435" Type="http://schemas.openxmlformats.org/officeDocument/2006/relationships/externalLink" Target="externalLinks/externalLink407.xml"/><Relationship Id="rId642" Type="http://schemas.openxmlformats.org/officeDocument/2006/relationships/externalLink" Target="externalLinks/externalLink614.xml"/><Relationship Id="rId1065" Type="http://schemas.openxmlformats.org/officeDocument/2006/relationships/externalLink" Target="externalLinks/externalLink1037.xml"/><Relationship Id="rId502" Type="http://schemas.openxmlformats.org/officeDocument/2006/relationships/externalLink" Target="externalLinks/externalLink474.xml"/><Relationship Id="rId947" Type="http://schemas.openxmlformats.org/officeDocument/2006/relationships/externalLink" Target="externalLinks/externalLink919.xml"/><Relationship Id="rId1132" Type="http://schemas.openxmlformats.org/officeDocument/2006/relationships/calcChain" Target="calcChain.xml"/><Relationship Id="rId76" Type="http://schemas.openxmlformats.org/officeDocument/2006/relationships/externalLink" Target="externalLinks/externalLink48.xml"/><Relationship Id="rId807" Type="http://schemas.openxmlformats.org/officeDocument/2006/relationships/externalLink" Target="externalLinks/externalLink779.xml"/><Relationship Id="rId292" Type="http://schemas.openxmlformats.org/officeDocument/2006/relationships/externalLink" Target="externalLinks/externalLink264.xml"/><Relationship Id="rId597" Type="http://schemas.openxmlformats.org/officeDocument/2006/relationships/externalLink" Target="externalLinks/externalLink569.xml"/><Relationship Id="rId152" Type="http://schemas.openxmlformats.org/officeDocument/2006/relationships/externalLink" Target="externalLinks/externalLink124.xml"/><Relationship Id="rId457" Type="http://schemas.openxmlformats.org/officeDocument/2006/relationships/externalLink" Target="externalLinks/externalLink429.xml"/><Relationship Id="rId1087" Type="http://schemas.openxmlformats.org/officeDocument/2006/relationships/externalLink" Target="externalLinks/externalLink1059.xml"/><Relationship Id="rId664" Type="http://schemas.openxmlformats.org/officeDocument/2006/relationships/externalLink" Target="externalLinks/externalLink636.xml"/><Relationship Id="rId871" Type="http://schemas.openxmlformats.org/officeDocument/2006/relationships/externalLink" Target="externalLinks/externalLink843.xml"/><Relationship Id="rId969" Type="http://schemas.openxmlformats.org/officeDocument/2006/relationships/externalLink" Target="externalLinks/externalLink941.xml"/><Relationship Id="rId317" Type="http://schemas.openxmlformats.org/officeDocument/2006/relationships/externalLink" Target="externalLinks/externalLink289.xml"/><Relationship Id="rId524" Type="http://schemas.openxmlformats.org/officeDocument/2006/relationships/externalLink" Target="externalLinks/externalLink496.xml"/><Relationship Id="rId731" Type="http://schemas.openxmlformats.org/officeDocument/2006/relationships/externalLink" Target="externalLinks/externalLink703.xml"/><Relationship Id="rId98" Type="http://schemas.openxmlformats.org/officeDocument/2006/relationships/externalLink" Target="externalLinks/externalLink70.xml"/><Relationship Id="rId829" Type="http://schemas.openxmlformats.org/officeDocument/2006/relationships/externalLink" Target="externalLinks/externalLink801.xml"/><Relationship Id="rId1014" Type="http://schemas.openxmlformats.org/officeDocument/2006/relationships/externalLink" Target="externalLinks/externalLink986.xml"/><Relationship Id="rId25" Type="http://schemas.openxmlformats.org/officeDocument/2006/relationships/worksheet" Target="worksheets/sheet25.xml"/><Relationship Id="rId174" Type="http://schemas.openxmlformats.org/officeDocument/2006/relationships/externalLink" Target="externalLinks/externalLink146.xml"/><Relationship Id="rId381" Type="http://schemas.openxmlformats.org/officeDocument/2006/relationships/externalLink" Target="externalLinks/externalLink35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23</xdr:col>
      <xdr:colOff>323850</xdr:colOff>
      <xdr:row>9</xdr:row>
      <xdr:rowOff>28575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18221325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TASA DE RESOLUCIÓN POR J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URISDICCIONES Y PROVINCIAS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PERÍODO</a:t>
          </a:r>
          <a:r>
            <a:rPr lang="es-ES" sz="1400" b="1" baseline="0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2001-2022</a:t>
          </a:r>
          <a:endParaRPr lang="es-ES" sz="1400" b="1">
            <a:solidFill>
              <a:schemeClr val="lt1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152400</xdr:colOff>
      <xdr:row>0</xdr:row>
      <xdr:rowOff>104775</xdr:rowOff>
    </xdr:from>
    <xdr:to>
      <xdr:col>1</xdr:col>
      <xdr:colOff>319759</xdr:colOff>
      <xdr:row>8</xdr:row>
      <xdr:rowOff>57151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152400" y="104775"/>
          <a:ext cx="929359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75FDC4FA-B9F0-4EFD-8579-79E3136CEAEB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10297E-4856-4D04-8055-F12096AA5C64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2F4774C-975A-4799-9D4B-F62ADA293984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253960-4707-449D-8FAD-39CABE5236A1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4C8D406D-FD6E-4F13-B824-CDF88CA75396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81BC59-A22F-443A-86A5-9F7816B48729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3F5F8419-6ED3-4E66-92D4-D60371416CDC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87D30B-F5C9-44D6-A948-C0B8C9E1762F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4A9B20A-3FE8-41A8-AC60-40B1E08B694D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6AF33B-B2DB-4101-B61E-A8B505F0948A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FD38B5D4-646D-421B-B875-2C96AFE55EF6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158A5F-7470-4EE5-9957-1C58E83D86F0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9FF48A06-ABC3-44D6-993B-6BCA6C97FDE3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EECF71-4285-4295-910F-C2D0ACB920BD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E72CA3CD-45D9-4BBE-A414-D434C6439E0B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179B46-5C00-43D1-92F4-2E133A65DD8A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252A377-6ED8-4F87-AEF0-2D4FA1B70019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319B41-CCCF-4651-A7A1-45FB4BE1A749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F6144096-46DD-4CC5-B89E-39280A013EE8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67A687-74E8-4D57-9337-39B90E853676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485775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TASA DE RESOLUCIÓN/ TOTAL JURISDICCIONES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PERÍODO 2001 - 2022</a:t>
          </a:r>
        </a:p>
      </xdr:txBody>
    </xdr:sp>
    <xdr:clientData/>
  </xdr:twoCellAnchor>
  <xdr:twoCellAnchor>
    <xdr:from>
      <xdr:col>20</xdr:col>
      <xdr:colOff>190500</xdr:colOff>
      <xdr:row>1</xdr:row>
      <xdr:rowOff>0</xdr:rowOff>
    </xdr:from>
    <xdr:to>
      <xdr:col>21</xdr:col>
      <xdr:colOff>466725</xdr:colOff>
      <xdr:row>4</xdr:row>
      <xdr:rowOff>57150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2182475" y="161925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45CD7E1A-B955-4267-9E6D-DED1B29FE8D3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102BA1-CF2C-4ED3-8643-9E7AEB365D98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F3C0D05D-E187-4531-B503-AD98D3F537C3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C6CE73-A8F1-4875-9CCD-D63B2BF0C707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95429184-64B3-4F4E-BFF6-531B83F5772B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5B5CDB-3296-49B3-BE72-B304A64BDBC5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10A128F0-F726-4252-A06D-3B24C2A70177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D2395B-CDC1-4246-B724-1A5911691923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F5A4356F-9AD3-440D-80E6-5FF3968BDE11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595BFE-FA47-4868-9B86-B7610756003C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3C3257A-75B1-4726-8638-07753CBBE033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787AB7-51C1-4078-AC1D-1B50DE645EB0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1C151A32-76CE-4FBB-B35D-00B167BE213D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3B484A-059E-4291-AD34-CBD9EC9A15EC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81875733-5BAA-4877-8B7B-430E5568E033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9E929F-3350-4988-9ADB-356C0C4BD834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71EC92FA-FD02-4027-BDE8-C41C8FC39A6E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F96863-0548-46AC-A67E-AE23C5A5A926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485775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5212A1C6-D801-43B5-9814-DD13C8E3493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TASA DE RESOLUCIÓN</a:t>
          </a:r>
          <a:r>
            <a:rPr lang="es-ES" sz="2000" b="1" baseline="0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 JURISDICCIÓN CIVIL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PERÍODO 2001 - 2022</a:t>
          </a:r>
        </a:p>
      </xdr:txBody>
    </xdr:sp>
    <xdr:clientData/>
  </xdr:twoCellAnchor>
  <xdr:twoCellAnchor>
    <xdr:from>
      <xdr:col>20</xdr:col>
      <xdr:colOff>190500</xdr:colOff>
      <xdr:row>1</xdr:row>
      <xdr:rowOff>0</xdr:rowOff>
    </xdr:from>
    <xdr:to>
      <xdr:col>21</xdr:col>
      <xdr:colOff>466725</xdr:colOff>
      <xdr:row>4</xdr:row>
      <xdr:rowOff>57150</xdr:rowOff>
    </xdr:to>
    <xdr:sp macro="" textlink="">
      <xdr:nvSpPr>
        <xdr:cNvPr id="3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CAC3F8-603C-4A0C-8F4A-4094D0A53842}"/>
            </a:ext>
          </a:extLst>
        </xdr:cNvPr>
        <xdr:cNvSpPr/>
      </xdr:nvSpPr>
      <xdr:spPr>
        <a:xfrm>
          <a:off x="12182475" y="161925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485775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8CC0D22F-0915-479C-B6AF-749B2BA6099E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TASA DE RESOLUCIÓN</a:t>
          </a:r>
          <a:r>
            <a:rPr lang="es-ES" sz="2000" b="1" baseline="0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 JURISDICCIÓN PENAL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PERÍODO 2001 - 2022</a:t>
          </a:r>
        </a:p>
      </xdr:txBody>
    </xdr:sp>
    <xdr:clientData/>
  </xdr:twoCellAnchor>
  <xdr:twoCellAnchor>
    <xdr:from>
      <xdr:col>20</xdr:col>
      <xdr:colOff>190500</xdr:colOff>
      <xdr:row>1</xdr:row>
      <xdr:rowOff>0</xdr:rowOff>
    </xdr:from>
    <xdr:to>
      <xdr:col>21</xdr:col>
      <xdr:colOff>466725</xdr:colOff>
      <xdr:row>4</xdr:row>
      <xdr:rowOff>57150</xdr:rowOff>
    </xdr:to>
    <xdr:sp macro="" textlink="">
      <xdr:nvSpPr>
        <xdr:cNvPr id="3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51CCCB-7434-4C70-8BA5-45BE3D291CA5}"/>
            </a:ext>
          </a:extLst>
        </xdr:cNvPr>
        <xdr:cNvSpPr/>
      </xdr:nvSpPr>
      <xdr:spPr>
        <a:xfrm>
          <a:off x="12182475" y="161925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485775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A2BAA7A9-9A66-4F1D-8184-A8B67283E665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TASA DE RESOLUCIÓN/ </a:t>
          </a:r>
          <a:r>
            <a:rPr lang="es-ES" sz="2000" b="1" baseline="0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JURISDICCIÓN CONTENCIOSA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PERÍODO 2001 - 2022</a:t>
          </a:r>
        </a:p>
      </xdr:txBody>
    </xdr:sp>
    <xdr:clientData/>
  </xdr:twoCellAnchor>
  <xdr:twoCellAnchor>
    <xdr:from>
      <xdr:col>20</xdr:col>
      <xdr:colOff>190500</xdr:colOff>
      <xdr:row>1</xdr:row>
      <xdr:rowOff>0</xdr:rowOff>
    </xdr:from>
    <xdr:to>
      <xdr:col>21</xdr:col>
      <xdr:colOff>466725</xdr:colOff>
      <xdr:row>4</xdr:row>
      <xdr:rowOff>57150</xdr:rowOff>
    </xdr:to>
    <xdr:sp macro="" textlink="">
      <xdr:nvSpPr>
        <xdr:cNvPr id="3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8CBA37-AB19-4E34-8775-30195C87E4DB}"/>
            </a:ext>
          </a:extLst>
        </xdr:cNvPr>
        <xdr:cNvSpPr/>
      </xdr:nvSpPr>
      <xdr:spPr>
        <a:xfrm>
          <a:off x="12182475" y="161925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485775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D9EA0584-4A2B-45AD-8C98-5EE117F4394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TASA DE RESOLUCIÓN</a:t>
          </a:r>
          <a:r>
            <a:rPr lang="es-ES" sz="2000" b="1" baseline="0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 JURISDICCIÓN SOCIAL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PERÍODO 2001 - 2022</a:t>
          </a:r>
        </a:p>
      </xdr:txBody>
    </xdr:sp>
    <xdr:clientData/>
  </xdr:twoCellAnchor>
  <xdr:twoCellAnchor>
    <xdr:from>
      <xdr:col>20</xdr:col>
      <xdr:colOff>190500</xdr:colOff>
      <xdr:row>1</xdr:row>
      <xdr:rowOff>0</xdr:rowOff>
    </xdr:from>
    <xdr:to>
      <xdr:col>21</xdr:col>
      <xdr:colOff>466725</xdr:colOff>
      <xdr:row>4</xdr:row>
      <xdr:rowOff>57150</xdr:rowOff>
    </xdr:to>
    <xdr:sp macro="" textlink="">
      <xdr:nvSpPr>
        <xdr:cNvPr id="3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5884B2-0A48-42CB-8EB3-82A959CF9F79}"/>
            </a:ext>
          </a:extLst>
        </xdr:cNvPr>
        <xdr:cNvSpPr/>
      </xdr:nvSpPr>
      <xdr:spPr>
        <a:xfrm>
          <a:off x="12182475" y="161925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BE6F4508-D764-4114-8FC7-E7F6CB7B1DBF}"/>
            </a:ext>
          </a:extLst>
        </xdr:cNvPr>
        <xdr:cNvSpPr/>
      </xdr:nvSpPr>
      <xdr:spPr>
        <a:xfrm>
          <a:off x="784860" y="0"/>
          <a:ext cx="11525250" cy="71628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D4DC3D-52D9-4034-A6B8-B096427E6057}"/>
            </a:ext>
          </a:extLst>
        </xdr:cNvPr>
        <xdr:cNvSpPr/>
      </xdr:nvSpPr>
      <xdr:spPr>
        <a:xfrm>
          <a:off x="12672060" y="104775"/>
          <a:ext cx="737235" cy="53530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677E2D85-C67D-4314-89B9-F1ABC9C04A9C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0CFD72-429D-47C4-8AC0-DFB4F71B8CF9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BE2233B7-3626-41D8-AECB-952734CA5FAD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RESOLUCIÓN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A05B7B-AD79-4BDA-9FC1-7A9A7B2C8552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2-ARABA-ALAVA-1-4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2-CACERES-1-4.xlsx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1-ZARAGOZA-1-4.xlsx" TargetMode="External"/></Relationships>
</file>

<file path=xl/externalLinks/_rels/externalLink100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3-ZARAGOZA-1-4.xls" TargetMode="External"/></Relationships>
</file>

<file path=xl/externalLinks/_rels/externalLink100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2-ARABA-ALAVA-1-4.xls" TargetMode="External"/></Relationships>
</file>

<file path=xl/externalLinks/_rels/externalLink100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2-ALBACETE-1-4.XLS" TargetMode="External"/></Relationships>
</file>

<file path=xl/externalLinks/_rels/externalLink100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2-ALICANTE-ALACANT-1-4.xls" TargetMode="External"/></Relationships>
</file>

<file path=xl/externalLinks/_rels/externalLink100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2-ALMERIA-1-4.xls" TargetMode="External"/></Relationships>
</file>

<file path=xl/externalLinks/_rels/externalLink100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2-AVILA-1-4.xls" TargetMode="External"/></Relationships>
</file>

<file path=xl/externalLinks/_rels/externalLink100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2-BADAJOZ-1-4.xls" TargetMode="External"/></Relationships>
</file>

<file path=xl/externalLinks/_rels/externalLink100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2-ILLES%20BALEARS-1-4.xls" TargetMode="External"/></Relationships>
</file>

<file path=xl/externalLinks/_rels/externalLink100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2-BARCELONA-1-4.xls" TargetMode="External"/></Relationships>
</file>

<file path=xl/externalLinks/_rels/externalLink100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2-BURGOS-1-4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0-ARABA-ALAVA-1-4.xlsx" TargetMode="External"/></Relationships>
</file>

<file path=xl/externalLinks/_rels/externalLink101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2-CACERES-1-4.xls" TargetMode="External"/></Relationships>
</file>

<file path=xl/externalLinks/_rels/externalLink101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2-CADIZ-1-4.xls" TargetMode="External"/></Relationships>
</file>

<file path=xl/externalLinks/_rels/externalLink101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2-CASTELLON-CASTELLO-1-4.xls" TargetMode="External"/></Relationships>
</file>

<file path=xl/externalLinks/_rels/externalLink101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2-CIUDAD%20REAL-1-4.xls" TargetMode="External"/></Relationships>
</file>

<file path=xl/externalLinks/_rels/externalLink101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2-CORDOBA-1-4.xls" TargetMode="External"/></Relationships>
</file>

<file path=xl/externalLinks/_rels/externalLink101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2-A%20CORU&#209;A-1-4.xls" TargetMode="External"/></Relationships>
</file>

<file path=xl/externalLinks/_rels/externalLink101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2-CUENCA-1-4.xls" TargetMode="External"/></Relationships>
</file>

<file path=xl/externalLinks/_rels/externalLink101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2-GIRONA-1-4.xls" TargetMode="External"/></Relationships>
</file>

<file path=xl/externalLinks/_rels/externalLink101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2-GRANADA-1-4.xls" TargetMode="External"/></Relationships>
</file>

<file path=xl/externalLinks/_rels/externalLink101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2-GUADALAJARA-1-4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0-ALBACETE-1-4.xlsx" TargetMode="External"/></Relationships>
</file>

<file path=xl/externalLinks/_rels/externalLink102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2-GIPUZKOA-1-4.xls" TargetMode="External"/></Relationships>
</file>

<file path=xl/externalLinks/_rels/externalLink102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2-HUELVA-1-4.xls" TargetMode="External"/></Relationships>
</file>

<file path=xl/externalLinks/_rels/externalLink102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2-HUESCA-1-4.xls" TargetMode="External"/></Relationships>
</file>

<file path=xl/externalLinks/_rels/externalLink102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2-JAEN-1-4.xls" TargetMode="External"/></Relationships>
</file>

<file path=xl/externalLinks/_rels/externalLink102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2-LEON-1-4.xls" TargetMode="External"/></Relationships>
</file>

<file path=xl/externalLinks/_rels/externalLink102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2-LLEIDA-1-4.xls" TargetMode="External"/></Relationships>
</file>

<file path=xl/externalLinks/_rels/externalLink102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2-LA%20RIOJA-1-4.xls" TargetMode="External"/></Relationships>
</file>

<file path=xl/externalLinks/_rels/externalLink102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2-LUGO-1-4.xls" TargetMode="External"/></Relationships>
</file>

<file path=xl/externalLinks/_rels/externalLink102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2-MADRID-1-4.xls" TargetMode="External"/></Relationships>
</file>

<file path=xl/externalLinks/_rels/externalLink102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2-MALAGA-1-4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0-ALICANTE-ALACANT-1-4.xlsx" TargetMode="External"/></Relationships>
</file>

<file path=xl/externalLinks/_rels/externalLink103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2-MURCIA-1-4.xls" TargetMode="External"/></Relationships>
</file>

<file path=xl/externalLinks/_rels/externalLink103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2-NAVARRA-1-4.xls" TargetMode="External"/></Relationships>
</file>

<file path=xl/externalLinks/_rels/externalLink103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2-OURENSE-1-4.xls" TargetMode="External"/></Relationships>
</file>

<file path=xl/externalLinks/_rels/externalLink103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2-ASTURIAS-1-4.xls" TargetMode="External"/></Relationships>
</file>

<file path=xl/externalLinks/_rels/externalLink103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2-PALENCIA-1-4.xls" TargetMode="External"/></Relationships>
</file>

<file path=xl/externalLinks/_rels/externalLink103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2-LAS%20PALMAS-1-4.xls" TargetMode="External"/></Relationships>
</file>

<file path=xl/externalLinks/_rels/externalLink103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2-PONTEVEDRA-1-4.xls" TargetMode="External"/></Relationships>
</file>

<file path=xl/externalLinks/_rels/externalLink103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2-SALAMANCA-1-4.xls" TargetMode="External"/></Relationships>
</file>

<file path=xl/externalLinks/_rels/externalLink103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2-SANTA%20CRUZ%20DE%20TENERIFE-1-4.xls" TargetMode="External"/></Relationships>
</file>

<file path=xl/externalLinks/_rels/externalLink103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2-CANTABRIA-1-4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0-ALMERIA-1-4.xlsx" TargetMode="External"/></Relationships>
</file>

<file path=xl/externalLinks/_rels/externalLink104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2-SEGOVIA-1-4.xls" TargetMode="External"/></Relationships>
</file>

<file path=xl/externalLinks/_rels/externalLink104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2-SEVILLA-1-4.xls" TargetMode="External"/></Relationships>
</file>

<file path=xl/externalLinks/_rels/externalLink104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2-SORIA-1-4.xls" TargetMode="External"/></Relationships>
</file>

<file path=xl/externalLinks/_rels/externalLink104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2-TARRAGONA-1-4.xls" TargetMode="External"/></Relationships>
</file>

<file path=xl/externalLinks/_rels/externalLink104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2-TERUEL-1-4.xls" TargetMode="External"/></Relationships>
</file>

<file path=xl/externalLinks/_rels/externalLink104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2-TOLEDO-1-4.xls" TargetMode="External"/></Relationships>
</file>

<file path=xl/externalLinks/_rels/externalLink104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2-VALENCIA-1-4.xls" TargetMode="External"/></Relationships>
</file>

<file path=xl/externalLinks/_rels/externalLink104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2-VALLADOLID-1-4.xls" TargetMode="External"/></Relationships>
</file>

<file path=xl/externalLinks/_rels/externalLink104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2-BIZKAIA-1-4.xls" TargetMode="External"/></Relationships>
</file>

<file path=xl/externalLinks/_rels/externalLink104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2-ZAMORA-1-4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0-AVILA-1-4.xlsx" TargetMode="External"/></Relationships>
</file>

<file path=xl/externalLinks/_rels/externalLink105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2-ZARAGOZA-1-4.xls" TargetMode="External"/></Relationships>
</file>

<file path=xl/externalLinks/_rels/externalLink105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1-ARABA-ALAVA-1-4.xls" TargetMode="External"/></Relationships>
</file>

<file path=xl/externalLinks/_rels/externalLink105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1-ALBACETE-1-4.XLS" TargetMode="External"/></Relationships>
</file>

<file path=xl/externalLinks/_rels/externalLink105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1-ALICANTE-ALACANT-1-4.xls" TargetMode="External"/></Relationships>
</file>

<file path=xl/externalLinks/_rels/externalLink105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1-ALMERIA-1-4.xls" TargetMode="External"/></Relationships>
</file>

<file path=xl/externalLinks/_rels/externalLink105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1-AVILA-1-4.xls" TargetMode="External"/></Relationships>
</file>

<file path=xl/externalLinks/_rels/externalLink105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1-BADAJOZ-1-4.xls" TargetMode="External"/></Relationships>
</file>

<file path=xl/externalLinks/_rels/externalLink105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1-ILLES%20BALEARS-1-4.xls" TargetMode="External"/></Relationships>
</file>

<file path=xl/externalLinks/_rels/externalLink105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1-BARCELONA-1-4.xls" TargetMode="External"/></Relationships>
</file>

<file path=xl/externalLinks/_rels/externalLink105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1-BURGOS-1-4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0-BADAJOZ-1-4.xlsx" TargetMode="External"/></Relationships>
</file>

<file path=xl/externalLinks/_rels/externalLink106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1-CACERES-1-4.xls" TargetMode="External"/></Relationships>
</file>

<file path=xl/externalLinks/_rels/externalLink106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1-CADIZ-1-4.xls" TargetMode="External"/></Relationships>
</file>

<file path=xl/externalLinks/_rels/externalLink106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1-CASTELLON-CASTELLO-1-4.xls" TargetMode="External"/></Relationships>
</file>

<file path=xl/externalLinks/_rels/externalLink106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1-CIUDAD%20REAL-1-4.xls" TargetMode="External"/></Relationships>
</file>

<file path=xl/externalLinks/_rels/externalLink106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1-CORDOBA-1-4.xls" TargetMode="External"/></Relationships>
</file>

<file path=xl/externalLinks/_rels/externalLink106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1-A%20CORU&#209;A-1-4.xls" TargetMode="External"/></Relationships>
</file>

<file path=xl/externalLinks/_rels/externalLink106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1-CUENCA-1-4.xls" TargetMode="External"/></Relationships>
</file>

<file path=xl/externalLinks/_rels/externalLink106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1-GIRONA-1-4.xls" TargetMode="External"/></Relationships>
</file>

<file path=xl/externalLinks/_rels/externalLink106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1-GRANADA-1-4.xls" TargetMode="External"/></Relationships>
</file>

<file path=xl/externalLinks/_rels/externalLink106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1-GUADALAJARA-1-4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0-ILLES%20BALEARS-1-4.xlsx" TargetMode="External"/></Relationships>
</file>

<file path=xl/externalLinks/_rels/externalLink107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1-GIPUZKOA-1-4.xls" TargetMode="External"/></Relationships>
</file>

<file path=xl/externalLinks/_rels/externalLink107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1-HUELVA-1-4.xls" TargetMode="External"/></Relationships>
</file>

<file path=xl/externalLinks/_rels/externalLink107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1-HUESCA-1-4.xls" TargetMode="External"/></Relationships>
</file>

<file path=xl/externalLinks/_rels/externalLink107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1-JAEN-1-4.xls" TargetMode="External"/></Relationships>
</file>

<file path=xl/externalLinks/_rels/externalLink107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1-LEON-1-4.xls" TargetMode="External"/></Relationships>
</file>

<file path=xl/externalLinks/_rels/externalLink107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1-LLEIDA-1-4.xls" TargetMode="External"/></Relationships>
</file>

<file path=xl/externalLinks/_rels/externalLink107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1-LA%20RIOJA-1-4.xls" TargetMode="External"/></Relationships>
</file>

<file path=xl/externalLinks/_rels/externalLink107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1-LUGO-1-4.xls" TargetMode="External"/></Relationships>
</file>

<file path=xl/externalLinks/_rels/externalLink107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1-MADRID-1-4.xls" TargetMode="External"/></Relationships>
</file>

<file path=xl/externalLinks/_rels/externalLink107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1-MALAGA-1-4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0-BARCELONA-1-4.xlsx" TargetMode="External"/></Relationships>
</file>

<file path=xl/externalLinks/_rels/externalLink108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1-MURCIA-1-4.xls" TargetMode="External"/></Relationships>
</file>

<file path=xl/externalLinks/_rels/externalLink108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1-NAVARRA-1-4.xls" TargetMode="External"/></Relationships>
</file>

<file path=xl/externalLinks/_rels/externalLink108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1-OURENSE-1-4.xls" TargetMode="External"/></Relationships>
</file>

<file path=xl/externalLinks/_rels/externalLink108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1-ASTURIAS-1-4.xls" TargetMode="External"/></Relationships>
</file>

<file path=xl/externalLinks/_rels/externalLink108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1-PALENCIA-1-4.xls" TargetMode="External"/></Relationships>
</file>

<file path=xl/externalLinks/_rels/externalLink108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1-LAS%20PALMAS-1-4.xls" TargetMode="External"/></Relationships>
</file>

<file path=xl/externalLinks/_rels/externalLink108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1-PONTEVEDRA-1-4.xls" TargetMode="External"/></Relationships>
</file>

<file path=xl/externalLinks/_rels/externalLink108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1-SALAMANCA-1-4.xls" TargetMode="External"/></Relationships>
</file>

<file path=xl/externalLinks/_rels/externalLink108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1-SANTA%20CRUZ%20DE%20TENERIFE-1-4.xls" TargetMode="External"/></Relationships>
</file>

<file path=xl/externalLinks/_rels/externalLink108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1-CANTABRIA-1-4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0-BURGOS-1-4.xlsx" TargetMode="External"/></Relationships>
</file>

<file path=xl/externalLinks/_rels/externalLink109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1-SEGOVIA-1-4.xls" TargetMode="External"/></Relationships>
</file>

<file path=xl/externalLinks/_rels/externalLink109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1-SEVILLA-1-4.xls" TargetMode="External"/></Relationships>
</file>

<file path=xl/externalLinks/_rels/externalLink109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1-SORIA-1-4.xls" TargetMode="External"/></Relationships>
</file>

<file path=xl/externalLinks/_rels/externalLink109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1-TARRAGONA-1-4.xls" TargetMode="External"/></Relationships>
</file>

<file path=xl/externalLinks/_rels/externalLink109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1-TERUEL-1-4.xls" TargetMode="External"/></Relationships>
</file>

<file path=xl/externalLinks/_rels/externalLink109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1-TOLEDO-1-4.xls" TargetMode="External"/></Relationships>
</file>

<file path=xl/externalLinks/_rels/externalLink109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1-VALENCIA-1-4.xls" TargetMode="External"/></Relationships>
</file>

<file path=xl/externalLinks/_rels/externalLink109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1-VALLADOLID-1-4.xls" TargetMode="External"/></Relationships>
</file>

<file path=xl/externalLinks/_rels/externalLink109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1-BIZKAIA-1-4.xls" TargetMode="External"/></Relationships>
</file>

<file path=xl/externalLinks/_rels/externalLink109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1-ZAMORA-1-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2-CADIZ-1-4.xlsx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0-CACERES-1-4.xlsx" TargetMode="External"/></Relationships>
</file>

<file path=xl/externalLinks/_rels/externalLink110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1-ZARAGOZA-1-4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0-CADIZ-1-4.xlsx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0-CASTELLON-CASTELLO-1-4.xlsx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0-CIUDAD%20REAL-1-4.xlsx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0-CORDOBA-1-4.xlsx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0-A%20CORU&#209;A-1-4.xlsx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0-CUENCA-1-4.xlsx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0-GIRONA-1-4.xlsx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0-GRANADA-1-4.xlsx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0-GUADALAJARA-1-4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2-CASTELLON-CASTELLO-1-4.xlsx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0-GIPUZKOA-1-4.xlsx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0-HUELVA-1-4.xlsx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0-HUESCA-1-4.xlsx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0-JAEN-1-4.xlsx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0-LEON-1-4.xlsx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0-LLEIDA-1-4.xlsx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0-LA%20RIOJA-1-4.xlsx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0-LUGO-1-4.xlsx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0-MADRID-1-4.xlsx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0-MALAGA-1-4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2-CIUDAD%20REAL-1-4.xlsx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0-MURCIA-1-4.xlsx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0-NAVARRA-1-4.xlsx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0-OURENSE-1-4.xlsx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0-ASTURIAS-1-4.xlsx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0-PALENCIA-1-4.xlsx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0-LAS%20PALMAS-1-4.xlsx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0-PONTEVEDRA-1-4.xlsx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0-SALAMANCA-1-4.xlsx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0-SANTA%20CRUZ%20DE%20TENERIFE-1-4.xlsx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0-CANTABRIA-1-4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2-CORDOBA-1-4.xlsx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0-SEGOVIA-1-4.xlsx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0-SEVILLA-1-4.xlsx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0-SORIA-1-4.xlsx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0-TARRAGONA-1-4.xlsx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0-TERUEL-1-4.xlsx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0-TOLEDO-1-4.xlsx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0-VALENCIA-1-4.xlsx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0-VALLADOLID-1-4.xlsx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0-BIZKAIA-1-4.xlsx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0-ZAMORA-1-4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2-A%20CORU&#209;A-1-4.xlsx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0-ZARAGOZA-1-4.xlsx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9-ARABA-ALAVA-1-4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9-ALBACETE-1-4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9-ALICANTE-ALACANT-1-4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9-ALMERIA-1-4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9-AVILA-1-4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9-BADAJOZ-1-4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9-ILLES%20BALEARS-1-4.xls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9-BARCELONA-1-4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9-BURGOS-1-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2-CUENCA-1-4.xlsx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9-CACERES-1-4.xls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9-CADIZ-1-4.xls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9-CASTELLON-CASTELLO-1-4.xls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9-CIUDAD%20REAL-1-4.xls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9-CORDOBA-1-4.xls" TargetMode="External"/></Relationships>
</file>

<file path=xl/externalLinks/_rels/externalLink16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9-A%20CORU&#209;A-1-4.xls" TargetMode="External"/></Relationships>
</file>

<file path=xl/externalLinks/_rels/externalLink16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9-CUENCA-1-4.xls" TargetMode="External"/></Relationships>
</file>

<file path=xl/externalLinks/_rels/externalLink16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9-GIRONA-1-4.xls" TargetMode="External"/></Relationships>
</file>

<file path=xl/externalLinks/_rels/externalLink16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9-GRANADA-1-4.xls" TargetMode="External"/></Relationships>
</file>

<file path=xl/externalLinks/_rels/externalLink16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9-GUADALAJARA-1-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2-GIRONA-1-4.xlsx" TargetMode="External"/></Relationships>
</file>

<file path=xl/externalLinks/_rels/externalLink17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9-GIPUZKOA-1-4.xls" TargetMode="External"/></Relationships>
</file>

<file path=xl/externalLinks/_rels/externalLink17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9-HUELVA-1-4.xls" TargetMode="External"/></Relationships>
</file>

<file path=xl/externalLinks/_rels/externalLink17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9-HUESCA-1-4.xls" TargetMode="External"/></Relationships>
</file>

<file path=xl/externalLinks/_rels/externalLink17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9-JAEN-1-4.xls" TargetMode="External"/></Relationships>
</file>

<file path=xl/externalLinks/_rels/externalLink17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9-LEON-1-4.xls" TargetMode="External"/></Relationships>
</file>

<file path=xl/externalLinks/_rels/externalLink17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9-LLEIDA-1-4.xls" TargetMode="External"/></Relationships>
</file>

<file path=xl/externalLinks/_rels/externalLink17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9-LA%20RIOJA-1-4.xls" TargetMode="External"/></Relationships>
</file>

<file path=xl/externalLinks/_rels/externalLink17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9-LUGO-1-4.xls" TargetMode="External"/></Relationships>
</file>

<file path=xl/externalLinks/_rels/externalLink17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9-MADRID-1-4.xls" TargetMode="External"/></Relationships>
</file>

<file path=xl/externalLinks/_rels/externalLink17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9-MALAGA-1-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2-GRANADA-1-4.xlsx" TargetMode="External"/></Relationships>
</file>

<file path=xl/externalLinks/_rels/externalLink18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9-MURCIA-1-4.xls" TargetMode="External"/></Relationships>
</file>

<file path=xl/externalLinks/_rels/externalLink18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9-NAVARRA-1-4.xls" TargetMode="External"/></Relationships>
</file>

<file path=xl/externalLinks/_rels/externalLink18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9-OURENSE-1-4.xls" TargetMode="External"/></Relationships>
</file>

<file path=xl/externalLinks/_rels/externalLink18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9-ASTURIAS-1-4.xls" TargetMode="External"/></Relationships>
</file>

<file path=xl/externalLinks/_rels/externalLink18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9-PALENCIA-1-4.xls" TargetMode="External"/></Relationships>
</file>

<file path=xl/externalLinks/_rels/externalLink18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9-LAS%20PALMAS-1-4.xls" TargetMode="External"/></Relationships>
</file>

<file path=xl/externalLinks/_rels/externalLink18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9-PONTEVEDRA-1-4.xls" TargetMode="External"/></Relationships>
</file>

<file path=xl/externalLinks/_rels/externalLink18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9-SALAMANCA-1-4.xls" TargetMode="External"/></Relationships>
</file>

<file path=xl/externalLinks/_rels/externalLink18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9-SANTA%20CRUZ%20DE%20TENERIFE-1-4.xls" TargetMode="External"/></Relationships>
</file>

<file path=xl/externalLinks/_rels/externalLink18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9-CANTABRIA-1-4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2-GUADALAJARA-1-4.xlsx" TargetMode="External"/></Relationships>
</file>

<file path=xl/externalLinks/_rels/externalLink19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9-SEGOVIA-1-4.xls" TargetMode="External"/></Relationships>
</file>

<file path=xl/externalLinks/_rels/externalLink19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9-SEVILLA-1-4.xls" TargetMode="External"/></Relationships>
</file>

<file path=xl/externalLinks/_rels/externalLink19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9-SORIA-1-4.xls" TargetMode="External"/></Relationships>
</file>

<file path=xl/externalLinks/_rels/externalLink19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9-TARRAGONA-1-4.xls" TargetMode="External"/></Relationships>
</file>

<file path=xl/externalLinks/_rels/externalLink19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9-TERUEL-1-4.xls" TargetMode="External"/></Relationships>
</file>

<file path=xl/externalLinks/_rels/externalLink19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9-TOLEDO-1-4.xls" TargetMode="External"/></Relationships>
</file>

<file path=xl/externalLinks/_rels/externalLink19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9-VALENCIA-1-4.xls" TargetMode="External"/></Relationships>
</file>

<file path=xl/externalLinks/_rels/externalLink19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9-VALLADOLID-1-4.xls" TargetMode="External"/></Relationships>
</file>

<file path=xl/externalLinks/_rels/externalLink19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9-BIZKAIA-1-4.xls" TargetMode="External"/></Relationships>
</file>

<file path=xl/externalLinks/_rels/externalLink19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9-ZAMORA-1-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2-ALBACETE-1-4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2-GIPUZKOA-1-4.xlsx" TargetMode="External"/></Relationships>
</file>

<file path=xl/externalLinks/_rels/externalLink20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9-ZARAGOZA-1-4.xls" TargetMode="External"/></Relationships>
</file>

<file path=xl/externalLinks/_rels/externalLink20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8-ARABA-ALAVA-1-4.xls" TargetMode="External"/></Relationships>
</file>

<file path=xl/externalLinks/_rels/externalLink20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8-ALBACETE-1-4.XLS" TargetMode="External"/></Relationships>
</file>

<file path=xl/externalLinks/_rels/externalLink20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8-ALICANTE-ALACANT-1-4.xls" TargetMode="External"/></Relationships>
</file>

<file path=xl/externalLinks/_rels/externalLink20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8-ALMERIA-1-4.xls" TargetMode="External"/></Relationships>
</file>

<file path=xl/externalLinks/_rels/externalLink20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8-AVILA-1-4.xls" TargetMode="External"/></Relationships>
</file>

<file path=xl/externalLinks/_rels/externalLink20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8-BADAJOZ-1-4.xls" TargetMode="External"/></Relationships>
</file>

<file path=xl/externalLinks/_rels/externalLink20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8-ILLES%20BALEARS-1-4.xls" TargetMode="External"/></Relationships>
</file>

<file path=xl/externalLinks/_rels/externalLink20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8-BARCELONA-1-4.xls" TargetMode="External"/></Relationships>
</file>

<file path=xl/externalLinks/_rels/externalLink20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8-BURGOS-1-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2-HUELVA-1-4.xlsx" TargetMode="External"/></Relationships>
</file>

<file path=xl/externalLinks/_rels/externalLink21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8-CACERES-1-4.xls" TargetMode="External"/></Relationships>
</file>

<file path=xl/externalLinks/_rels/externalLink21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8-CADIZ-1-4.xls" TargetMode="External"/></Relationships>
</file>

<file path=xl/externalLinks/_rels/externalLink21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8-CASTELLON-CASTELLO-1-4.xls" TargetMode="External"/></Relationships>
</file>

<file path=xl/externalLinks/_rels/externalLink21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8-CIUDAD%20REAL-1-4.xls" TargetMode="External"/></Relationships>
</file>

<file path=xl/externalLinks/_rels/externalLink21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8-CORDOBA-1-4.xls" TargetMode="External"/></Relationships>
</file>

<file path=xl/externalLinks/_rels/externalLink21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8-A%20CORU&#209;A-1-4.xls" TargetMode="External"/></Relationships>
</file>

<file path=xl/externalLinks/_rels/externalLink21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8-CUENCA-1-4.xls" TargetMode="External"/></Relationships>
</file>

<file path=xl/externalLinks/_rels/externalLink21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8-GIRONA-1-4.xls" TargetMode="External"/></Relationships>
</file>

<file path=xl/externalLinks/_rels/externalLink21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8-GRANADA-1-4.xls" TargetMode="External"/></Relationships>
</file>

<file path=xl/externalLinks/_rels/externalLink21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8-GUADALAJARA-1-4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2-HUESCA-1-4.xlsx" TargetMode="External"/></Relationships>
</file>

<file path=xl/externalLinks/_rels/externalLink22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8-GIPUZKOA-1-4.xls" TargetMode="External"/></Relationships>
</file>

<file path=xl/externalLinks/_rels/externalLink22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8-HUELVA-1-4.xls" TargetMode="External"/></Relationships>
</file>

<file path=xl/externalLinks/_rels/externalLink22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8-HUESCA-1-4.xls" TargetMode="External"/></Relationships>
</file>

<file path=xl/externalLinks/_rels/externalLink22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8-JAEN-1-4.xls" TargetMode="External"/></Relationships>
</file>

<file path=xl/externalLinks/_rels/externalLink22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8-LEON-1-4.xls" TargetMode="External"/></Relationships>
</file>

<file path=xl/externalLinks/_rels/externalLink22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8-LLEIDA-1-4.xls" TargetMode="External"/></Relationships>
</file>

<file path=xl/externalLinks/_rels/externalLink22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8-LA%20RIOJA-1-4.xls" TargetMode="External"/></Relationships>
</file>

<file path=xl/externalLinks/_rels/externalLink22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8-LUGO-1-4.xls" TargetMode="External"/></Relationships>
</file>

<file path=xl/externalLinks/_rels/externalLink22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8-MADRID-1-4.xls" TargetMode="External"/></Relationships>
</file>

<file path=xl/externalLinks/_rels/externalLink22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8-MALAGA-1-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2-JAEN-1-4.xlsx" TargetMode="External"/></Relationships>
</file>

<file path=xl/externalLinks/_rels/externalLink23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8-MURCIA-1-4.xls" TargetMode="External"/></Relationships>
</file>

<file path=xl/externalLinks/_rels/externalLink23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8-NAVARRA-1-4.xls" TargetMode="External"/></Relationships>
</file>

<file path=xl/externalLinks/_rels/externalLink23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8-OURENSE-1-4.xls" TargetMode="External"/></Relationships>
</file>

<file path=xl/externalLinks/_rels/externalLink23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8-ASTURIAS-1-4.xls" TargetMode="External"/></Relationships>
</file>

<file path=xl/externalLinks/_rels/externalLink23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8-PALENCIA-1-4.xls" TargetMode="External"/></Relationships>
</file>

<file path=xl/externalLinks/_rels/externalLink23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8-LAS%20PALMAS-1-4.xls" TargetMode="External"/></Relationships>
</file>

<file path=xl/externalLinks/_rels/externalLink23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8-PONTEVEDRA-1-4.xls" TargetMode="External"/></Relationships>
</file>

<file path=xl/externalLinks/_rels/externalLink23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8-SALAMANCA-1-4.xls" TargetMode="External"/></Relationships>
</file>

<file path=xl/externalLinks/_rels/externalLink23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8-SANTA%20CRUZ%20DE%20TENERIFE-1-4.xls" TargetMode="External"/></Relationships>
</file>

<file path=xl/externalLinks/_rels/externalLink23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8-CANTABRIA-1-4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2-LEON-1-4.xlsx" TargetMode="External"/></Relationships>
</file>

<file path=xl/externalLinks/_rels/externalLink24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8-SEGOVIA-1-4.xls" TargetMode="External"/></Relationships>
</file>

<file path=xl/externalLinks/_rels/externalLink24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8-SEVILLA-1-4.xls" TargetMode="External"/></Relationships>
</file>

<file path=xl/externalLinks/_rels/externalLink24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8-SORIA-1-4.xls" TargetMode="External"/></Relationships>
</file>

<file path=xl/externalLinks/_rels/externalLink24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8-TARRAGONA-1-4.xls" TargetMode="External"/></Relationships>
</file>

<file path=xl/externalLinks/_rels/externalLink24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8-TERUEL-1-4.xls" TargetMode="External"/></Relationships>
</file>

<file path=xl/externalLinks/_rels/externalLink24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8-TOLEDO-1-4.xls" TargetMode="External"/></Relationships>
</file>

<file path=xl/externalLinks/_rels/externalLink24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8-VALENCIA-1-4.xls" TargetMode="External"/></Relationships>
</file>

<file path=xl/externalLinks/_rels/externalLink24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8-VALLADOLID-1-4.xls" TargetMode="External"/></Relationships>
</file>

<file path=xl/externalLinks/_rels/externalLink24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8-BIZKAIA-1-4.xls" TargetMode="External"/></Relationships>
</file>

<file path=xl/externalLinks/_rels/externalLink24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8-ZAMORA-1-4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2-LLEIDA-1-4.xlsx" TargetMode="External"/></Relationships>
</file>

<file path=xl/externalLinks/_rels/externalLink25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8-ZARAGOZA-1-4.xls" TargetMode="External"/></Relationships>
</file>

<file path=xl/externalLinks/_rels/externalLink25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7-ARABA-ALAVA-1-4.xls" TargetMode="External"/></Relationships>
</file>

<file path=xl/externalLinks/_rels/externalLink25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7-ALBACETE-1-4.XLS" TargetMode="External"/></Relationships>
</file>

<file path=xl/externalLinks/_rels/externalLink25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7-ALICANTE-ALACANT-1-4.xls" TargetMode="External"/></Relationships>
</file>

<file path=xl/externalLinks/_rels/externalLink25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7-ALMERIA-1-4.xls" TargetMode="External"/></Relationships>
</file>

<file path=xl/externalLinks/_rels/externalLink25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7-AVILA-1-4.xls" TargetMode="External"/></Relationships>
</file>

<file path=xl/externalLinks/_rels/externalLink25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7-BADAJOZ-1-4.xls" TargetMode="External"/></Relationships>
</file>

<file path=xl/externalLinks/_rels/externalLink25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7-ILLES%20BALEARS-1-4.xls" TargetMode="External"/></Relationships>
</file>

<file path=xl/externalLinks/_rels/externalLink25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7-BARCELONA-1-4.xls" TargetMode="External"/></Relationships>
</file>

<file path=xl/externalLinks/_rels/externalLink25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7-BURGOS-1-4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2-LA%20RIOJA-1-4.xlsx" TargetMode="External"/></Relationships>
</file>

<file path=xl/externalLinks/_rels/externalLink26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7-CACERES-1-4.xls" TargetMode="External"/></Relationships>
</file>

<file path=xl/externalLinks/_rels/externalLink26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7-CADIZ-1-4.xls" TargetMode="External"/></Relationships>
</file>

<file path=xl/externalLinks/_rels/externalLink26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7-CASTELLON-CASTELLO-1-4.xls" TargetMode="External"/></Relationships>
</file>

<file path=xl/externalLinks/_rels/externalLink26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7-CIUDAD%20REAL-1-4.xls" TargetMode="External"/></Relationships>
</file>

<file path=xl/externalLinks/_rels/externalLink26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7-CORDOBA-1-4.xls" TargetMode="External"/></Relationships>
</file>

<file path=xl/externalLinks/_rels/externalLink26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7-A%20CORU&#209;A-1-4.xls" TargetMode="External"/></Relationships>
</file>

<file path=xl/externalLinks/_rels/externalLink26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7-CUENCA-1-4.xls" TargetMode="External"/></Relationships>
</file>

<file path=xl/externalLinks/_rels/externalLink26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7-GIRONA-1-4.xls" TargetMode="External"/></Relationships>
</file>

<file path=xl/externalLinks/_rels/externalLink26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7-GRANADA-1-4.xls" TargetMode="External"/></Relationships>
</file>

<file path=xl/externalLinks/_rels/externalLink26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7-GUADALAJARA-1-4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2-LUGO-1-4.xlsx" TargetMode="External"/></Relationships>
</file>

<file path=xl/externalLinks/_rels/externalLink27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7-GIPUZKOA-1-4.xls" TargetMode="External"/></Relationships>
</file>

<file path=xl/externalLinks/_rels/externalLink27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7-HUELVA-1-4.xls" TargetMode="External"/></Relationships>
</file>

<file path=xl/externalLinks/_rels/externalLink27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7-HUESCA-1-4.xls" TargetMode="External"/></Relationships>
</file>

<file path=xl/externalLinks/_rels/externalLink27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7-JAEN-1-4.xls" TargetMode="External"/></Relationships>
</file>

<file path=xl/externalLinks/_rels/externalLink27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7-LEON-1-4.xls" TargetMode="External"/></Relationships>
</file>

<file path=xl/externalLinks/_rels/externalLink27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7-LLEIDA-1-4.xls" TargetMode="External"/></Relationships>
</file>

<file path=xl/externalLinks/_rels/externalLink27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7-LA%20RIOJA-1-4.xls" TargetMode="External"/></Relationships>
</file>

<file path=xl/externalLinks/_rels/externalLink27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7-LUGO-1-4.xls" TargetMode="External"/></Relationships>
</file>

<file path=xl/externalLinks/_rels/externalLink27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7-MADRID-1-4.xls" TargetMode="External"/></Relationships>
</file>

<file path=xl/externalLinks/_rels/externalLink27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7-MALAGA-1-4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2-MADRID-1-4.xlsx" TargetMode="External"/></Relationships>
</file>

<file path=xl/externalLinks/_rels/externalLink28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7-MURCIA-1-4.xls" TargetMode="External"/></Relationships>
</file>

<file path=xl/externalLinks/_rels/externalLink28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7-NAVARRA-1-4.xls" TargetMode="External"/></Relationships>
</file>

<file path=xl/externalLinks/_rels/externalLink28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7-OURENSE-1-4.xls" TargetMode="External"/></Relationships>
</file>

<file path=xl/externalLinks/_rels/externalLink28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7-ASTURIAS-1-4.xls" TargetMode="External"/></Relationships>
</file>

<file path=xl/externalLinks/_rels/externalLink28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7-PALENCIA-1-4.xls" TargetMode="External"/></Relationships>
</file>

<file path=xl/externalLinks/_rels/externalLink28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7-LAS%20PALMAS-1-4.xls" TargetMode="External"/></Relationships>
</file>

<file path=xl/externalLinks/_rels/externalLink28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7-PONTEVEDRA-1-4.xls" TargetMode="External"/></Relationships>
</file>

<file path=xl/externalLinks/_rels/externalLink28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7-SALAMANCA-1-4.xls" TargetMode="External"/></Relationships>
</file>

<file path=xl/externalLinks/_rels/externalLink28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7-SANTA%20CRUZ%20DE%20TENERIFE-1-4.xls" TargetMode="External"/></Relationships>
</file>

<file path=xl/externalLinks/_rels/externalLink28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7-CANTABRIA-1-4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2-MALAGA-1-4.xlsx" TargetMode="External"/></Relationships>
</file>

<file path=xl/externalLinks/_rels/externalLink29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7-SEGOVIA-1-4.xls" TargetMode="External"/></Relationships>
</file>

<file path=xl/externalLinks/_rels/externalLink29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7-SEVILLA-1-4.xls" TargetMode="External"/></Relationships>
</file>

<file path=xl/externalLinks/_rels/externalLink29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7-SORIA-1-4.xls" TargetMode="External"/></Relationships>
</file>

<file path=xl/externalLinks/_rels/externalLink29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7-TARRAGONA-1-4.xls" TargetMode="External"/></Relationships>
</file>

<file path=xl/externalLinks/_rels/externalLink29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7-TERUEL-1-4.xls" TargetMode="External"/></Relationships>
</file>

<file path=xl/externalLinks/_rels/externalLink29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7-TOLEDO-1-4.xls" TargetMode="External"/></Relationships>
</file>

<file path=xl/externalLinks/_rels/externalLink29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7-VALENCIA-1-4.xls" TargetMode="External"/></Relationships>
</file>

<file path=xl/externalLinks/_rels/externalLink29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7-VALLADOLID-1-4.xls" TargetMode="External"/></Relationships>
</file>

<file path=xl/externalLinks/_rels/externalLink29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7-BIZKAIA-1-4.xls" TargetMode="External"/></Relationships>
</file>

<file path=xl/externalLinks/_rels/externalLink29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7-ZAMORA-1-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2-ALICANTE-ALACANT-1-4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2-MURCIA-1-4.xlsx" TargetMode="External"/></Relationships>
</file>

<file path=xl/externalLinks/_rels/externalLink30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7-ZARAGOZA-1-4.xls" TargetMode="External"/></Relationships>
</file>

<file path=xl/externalLinks/_rels/externalLink30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6-ARABA-ALAVA-1-4.xls" TargetMode="External"/></Relationships>
</file>

<file path=xl/externalLinks/_rels/externalLink30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6-ALBACETE-1-4.XLS" TargetMode="External"/></Relationships>
</file>

<file path=xl/externalLinks/_rels/externalLink30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6-ALICANTE-ALACANT-1-4.xls" TargetMode="External"/></Relationships>
</file>

<file path=xl/externalLinks/_rels/externalLink30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6-ALMERIA-1-4.xls" TargetMode="External"/></Relationships>
</file>

<file path=xl/externalLinks/_rels/externalLink30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6-AVILA-1-4.xls" TargetMode="External"/></Relationships>
</file>

<file path=xl/externalLinks/_rels/externalLink30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6-BADAJOZ-1-4.xls" TargetMode="External"/></Relationships>
</file>

<file path=xl/externalLinks/_rels/externalLink30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6-ILLES%20BALEARS-1-4.xls" TargetMode="External"/></Relationships>
</file>

<file path=xl/externalLinks/_rels/externalLink30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6-BARCELONA-1-4.xls" TargetMode="External"/></Relationships>
</file>

<file path=xl/externalLinks/_rels/externalLink30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6-BURGOS-1-4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2-NAVARRA-1-4.xlsx" TargetMode="External"/></Relationships>
</file>

<file path=xl/externalLinks/_rels/externalLink31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6-CACERES-1-4.xls" TargetMode="External"/></Relationships>
</file>

<file path=xl/externalLinks/_rels/externalLink31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6-CADIZ-1-4.xls" TargetMode="External"/></Relationships>
</file>

<file path=xl/externalLinks/_rels/externalLink31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6-CASTELLON-CASTELLO-1-4.xls" TargetMode="External"/></Relationships>
</file>

<file path=xl/externalLinks/_rels/externalLink31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6-CIUDAD%20REAL-1-4.xls" TargetMode="External"/></Relationships>
</file>

<file path=xl/externalLinks/_rels/externalLink31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6-CORDOBA-1-4.xls" TargetMode="External"/></Relationships>
</file>

<file path=xl/externalLinks/_rels/externalLink31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6-A%20CORU&#209;A-1-4.xls" TargetMode="External"/></Relationships>
</file>

<file path=xl/externalLinks/_rels/externalLink31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6-CUENCA-1-4.xls" TargetMode="External"/></Relationships>
</file>

<file path=xl/externalLinks/_rels/externalLink31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6-GIRONA-1-4.xls" TargetMode="External"/></Relationships>
</file>

<file path=xl/externalLinks/_rels/externalLink31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6-GRANADA-1-4.xls" TargetMode="External"/></Relationships>
</file>

<file path=xl/externalLinks/_rels/externalLink31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6-GUADALAJARA-1-4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2-OURENSE-1-4.xlsx" TargetMode="External"/></Relationships>
</file>

<file path=xl/externalLinks/_rels/externalLink32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6-GIPUZKOA-1-4.xls" TargetMode="External"/></Relationships>
</file>

<file path=xl/externalLinks/_rels/externalLink32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6-HUELVA-1-4.xls" TargetMode="External"/></Relationships>
</file>

<file path=xl/externalLinks/_rels/externalLink32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6-HUESCA-1-4.xls" TargetMode="External"/></Relationships>
</file>

<file path=xl/externalLinks/_rels/externalLink32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6-JAEN-1-4.xls" TargetMode="External"/></Relationships>
</file>

<file path=xl/externalLinks/_rels/externalLink32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6-LEON-1-4.xls" TargetMode="External"/></Relationships>
</file>

<file path=xl/externalLinks/_rels/externalLink32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6-LLEIDA-1-4.xls" TargetMode="External"/></Relationships>
</file>

<file path=xl/externalLinks/_rels/externalLink32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6-LA%20RIOJA-1-4.xls" TargetMode="External"/></Relationships>
</file>

<file path=xl/externalLinks/_rels/externalLink32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6-LUGO-1-4.xls" TargetMode="External"/></Relationships>
</file>

<file path=xl/externalLinks/_rels/externalLink32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6-MADRID-1-4.xls" TargetMode="External"/></Relationships>
</file>

<file path=xl/externalLinks/_rels/externalLink32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6-MALAGA-1-4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2-ASTURIAS-1-4.xlsx" TargetMode="External"/></Relationships>
</file>

<file path=xl/externalLinks/_rels/externalLink33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6-MURCIA-1-4.xls" TargetMode="External"/></Relationships>
</file>

<file path=xl/externalLinks/_rels/externalLink33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6-NAVARRA-1-4.xls" TargetMode="External"/></Relationships>
</file>

<file path=xl/externalLinks/_rels/externalLink33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6-OURENSE-1-4.xls" TargetMode="External"/></Relationships>
</file>

<file path=xl/externalLinks/_rels/externalLink33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6-ASTURIAS-1-4.xls" TargetMode="External"/></Relationships>
</file>

<file path=xl/externalLinks/_rels/externalLink33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6-PALENCIA-1-4.xls" TargetMode="External"/></Relationships>
</file>

<file path=xl/externalLinks/_rels/externalLink33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6-LAS%20PALMAS-1-4.xls" TargetMode="External"/></Relationships>
</file>

<file path=xl/externalLinks/_rels/externalLink33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6-PONTEVEDRA-1-4.xls" TargetMode="External"/></Relationships>
</file>

<file path=xl/externalLinks/_rels/externalLink33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6-SALAMANCA-1-4.xls" TargetMode="External"/></Relationships>
</file>

<file path=xl/externalLinks/_rels/externalLink33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6-SANTA%20CRUZ%20DE%20TENERIFE-1-4.xls" TargetMode="External"/></Relationships>
</file>

<file path=xl/externalLinks/_rels/externalLink33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6-CANTABRIA-1-4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2-PALENCIA-1-4.xlsx" TargetMode="External"/></Relationships>
</file>

<file path=xl/externalLinks/_rels/externalLink34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6-SEGOVIA-1-4.xls" TargetMode="External"/></Relationships>
</file>

<file path=xl/externalLinks/_rels/externalLink34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6-SEVILLA-1-4.xls" TargetMode="External"/></Relationships>
</file>

<file path=xl/externalLinks/_rels/externalLink34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6-SORIA-1-4.xls" TargetMode="External"/></Relationships>
</file>

<file path=xl/externalLinks/_rels/externalLink34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6-TARRAGONA-1-4.xls" TargetMode="External"/></Relationships>
</file>

<file path=xl/externalLinks/_rels/externalLink34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6-TERUEL-1-4.xls" TargetMode="External"/></Relationships>
</file>

<file path=xl/externalLinks/_rels/externalLink34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6-TOLEDO-1-4.xls" TargetMode="External"/></Relationships>
</file>

<file path=xl/externalLinks/_rels/externalLink34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6-VALENCIA-1-4.xls" TargetMode="External"/></Relationships>
</file>

<file path=xl/externalLinks/_rels/externalLink34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6-VALLADOLID-1-4.xls" TargetMode="External"/></Relationships>
</file>

<file path=xl/externalLinks/_rels/externalLink34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6-BIZKAIA-1-4.xls" TargetMode="External"/></Relationships>
</file>

<file path=xl/externalLinks/_rels/externalLink34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6-ZAMORA-1-4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2-LAS%20PALMAS-1-4.xlsx" TargetMode="External"/></Relationships>
</file>

<file path=xl/externalLinks/_rels/externalLink35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6-ZARAGOZA-1-4.xls" TargetMode="External"/></Relationships>
</file>

<file path=xl/externalLinks/_rels/externalLink35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5-ARABA-ALAVA-1-4.xls" TargetMode="External"/></Relationships>
</file>

<file path=xl/externalLinks/_rels/externalLink35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5-ALBACETE-1-4.XLS" TargetMode="External"/></Relationships>
</file>

<file path=xl/externalLinks/_rels/externalLink35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5-ALICANTE-ALACANT-1-4.xls" TargetMode="External"/></Relationships>
</file>

<file path=xl/externalLinks/_rels/externalLink35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5-ALMERIA-1-4.xls" TargetMode="External"/></Relationships>
</file>

<file path=xl/externalLinks/_rels/externalLink35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5-AVILA-1-4.xls" TargetMode="External"/></Relationships>
</file>

<file path=xl/externalLinks/_rels/externalLink35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5-BADAJOZ-1-4.xls" TargetMode="External"/></Relationships>
</file>

<file path=xl/externalLinks/_rels/externalLink35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5-ILLES%20BALEARS-1-4.xls" TargetMode="External"/></Relationships>
</file>

<file path=xl/externalLinks/_rels/externalLink35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5-BARCELONA-1-4.xls" TargetMode="External"/></Relationships>
</file>

<file path=xl/externalLinks/_rels/externalLink35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5-BURGOS-1-4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2-PONTEVEDRA-1-4.xlsx" TargetMode="External"/></Relationships>
</file>

<file path=xl/externalLinks/_rels/externalLink36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5-CACERES-1-4.xls" TargetMode="External"/></Relationships>
</file>

<file path=xl/externalLinks/_rels/externalLink36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5-CADIZ-1-4.xls" TargetMode="External"/></Relationships>
</file>

<file path=xl/externalLinks/_rels/externalLink36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5-CASTELLON-CASTELLO-1-4.xls" TargetMode="External"/></Relationships>
</file>

<file path=xl/externalLinks/_rels/externalLink36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5-CIUDAD%20REAL-1-4.xls" TargetMode="External"/></Relationships>
</file>

<file path=xl/externalLinks/_rels/externalLink36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5-CORDOBA-1-4.xls" TargetMode="External"/></Relationships>
</file>

<file path=xl/externalLinks/_rels/externalLink36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5-A%20CORU&#209;A-1-4.xls" TargetMode="External"/></Relationships>
</file>

<file path=xl/externalLinks/_rels/externalLink36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5-CUENCA-1-4.xls" TargetMode="External"/></Relationships>
</file>

<file path=xl/externalLinks/_rels/externalLink36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5-GIRONA-1-4.xls" TargetMode="External"/></Relationships>
</file>

<file path=xl/externalLinks/_rels/externalLink36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5-GRANADA-1-4.xls" TargetMode="External"/></Relationships>
</file>

<file path=xl/externalLinks/_rels/externalLink36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5-GUADALAJARA-1-4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2-SALAMANCA-1-4.xlsx" TargetMode="External"/></Relationships>
</file>

<file path=xl/externalLinks/_rels/externalLink37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5-GIPUZKOA-1-4.xls" TargetMode="External"/></Relationships>
</file>

<file path=xl/externalLinks/_rels/externalLink37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5-HUELVA-1-4.xls" TargetMode="External"/></Relationships>
</file>

<file path=xl/externalLinks/_rels/externalLink37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5-HUESCA-1-4.xls" TargetMode="External"/></Relationships>
</file>

<file path=xl/externalLinks/_rels/externalLink37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5-JAEN-1-4.xls" TargetMode="External"/></Relationships>
</file>

<file path=xl/externalLinks/_rels/externalLink37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5-LEON-1-4.xls" TargetMode="External"/></Relationships>
</file>

<file path=xl/externalLinks/_rels/externalLink37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5-LLEIDA-1-4.xls" TargetMode="External"/></Relationships>
</file>

<file path=xl/externalLinks/_rels/externalLink37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5-LA%20RIOJA-1-4.xls" TargetMode="External"/></Relationships>
</file>

<file path=xl/externalLinks/_rels/externalLink37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5-LUGO-1-4.xls" TargetMode="External"/></Relationships>
</file>

<file path=xl/externalLinks/_rels/externalLink37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5-MADRID-1-4.xls" TargetMode="External"/></Relationships>
</file>

<file path=xl/externalLinks/_rels/externalLink37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5-MALAGA-1-4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2-SANTA%20CRUZ%20DE%20TENERIFE-1-4.xlsx" TargetMode="External"/></Relationships>
</file>

<file path=xl/externalLinks/_rels/externalLink38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5-MURCIA-1-4.xls" TargetMode="External"/></Relationships>
</file>

<file path=xl/externalLinks/_rels/externalLink38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5-NAVARRA-1-4.xls" TargetMode="External"/></Relationships>
</file>

<file path=xl/externalLinks/_rels/externalLink38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5-OURENSE-1-4.xls" TargetMode="External"/></Relationships>
</file>

<file path=xl/externalLinks/_rels/externalLink38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5-ASTURIAS-1-4.xls" TargetMode="External"/></Relationships>
</file>

<file path=xl/externalLinks/_rels/externalLink38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5-PALENCIA-1-4.xls" TargetMode="External"/></Relationships>
</file>

<file path=xl/externalLinks/_rels/externalLink38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5-LAS%20PALMAS-1-4.xls" TargetMode="External"/></Relationships>
</file>

<file path=xl/externalLinks/_rels/externalLink38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5-PONTEVEDRA-1-4.xls" TargetMode="External"/></Relationships>
</file>

<file path=xl/externalLinks/_rels/externalLink38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5-SALAMANCA-1-4.xls" TargetMode="External"/></Relationships>
</file>

<file path=xl/externalLinks/_rels/externalLink38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5-SANTA%20CRUZ%20DE%20TENERIFE-1-4.xls" TargetMode="External"/></Relationships>
</file>

<file path=xl/externalLinks/_rels/externalLink38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5-CANTABRIA-1-4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2-CANTABRIA-1-4.xlsx" TargetMode="External"/></Relationships>
</file>

<file path=xl/externalLinks/_rels/externalLink39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5-SEGOVIA-1-4.xls" TargetMode="External"/></Relationships>
</file>

<file path=xl/externalLinks/_rels/externalLink39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5-SEVILLA-1-4.xls" TargetMode="External"/></Relationships>
</file>

<file path=xl/externalLinks/_rels/externalLink39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5-SORIA-1-4.xls" TargetMode="External"/></Relationships>
</file>

<file path=xl/externalLinks/_rels/externalLink39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5-TARRAGONA-1-4.xls" TargetMode="External"/></Relationships>
</file>

<file path=xl/externalLinks/_rels/externalLink39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5-TERUEL-1-4.xls" TargetMode="External"/></Relationships>
</file>

<file path=xl/externalLinks/_rels/externalLink39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5-TOLEDO-1-4.xls" TargetMode="External"/></Relationships>
</file>

<file path=xl/externalLinks/_rels/externalLink39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5-VALENCIA-1-4.xls" TargetMode="External"/></Relationships>
</file>

<file path=xl/externalLinks/_rels/externalLink39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5-VALLADOLID-1-4.xls" TargetMode="External"/></Relationships>
</file>

<file path=xl/externalLinks/_rels/externalLink39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5-BIZKAIA-1-4.xls" TargetMode="External"/></Relationships>
</file>

<file path=xl/externalLinks/_rels/externalLink39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5-ZAMORA-1-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2-ALMERIA-1-4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2-SEGOVIA-1-4.xlsx" TargetMode="External"/></Relationships>
</file>

<file path=xl/externalLinks/_rels/externalLink40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5-ZARAGOZA-1-4.xls" TargetMode="External"/></Relationships>
</file>

<file path=xl/externalLinks/_rels/externalLink40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4-ARABA-ALAVA-1-4.xls" TargetMode="External"/></Relationships>
</file>

<file path=xl/externalLinks/_rels/externalLink40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4-ALBACETE-1-4.XLS" TargetMode="External"/></Relationships>
</file>

<file path=xl/externalLinks/_rels/externalLink40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4-ALICANTE-ALACANT-1-4.xls" TargetMode="External"/></Relationships>
</file>

<file path=xl/externalLinks/_rels/externalLink40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4-ALMERIA-1-4.xls" TargetMode="External"/></Relationships>
</file>

<file path=xl/externalLinks/_rels/externalLink40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4-AVILA-1-4.xls" TargetMode="External"/></Relationships>
</file>

<file path=xl/externalLinks/_rels/externalLink40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4-BADAJOZ-1-4.xls" TargetMode="External"/></Relationships>
</file>

<file path=xl/externalLinks/_rels/externalLink40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4-ILLES%20BALEARS-1-4.xls" TargetMode="External"/></Relationships>
</file>

<file path=xl/externalLinks/_rels/externalLink40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4-BARCELONA-1-4.xls" TargetMode="External"/></Relationships>
</file>

<file path=xl/externalLinks/_rels/externalLink40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4-BURGOS-1-4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2-SEVILLA-1-4.xlsx" TargetMode="External"/></Relationships>
</file>

<file path=xl/externalLinks/_rels/externalLink41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4-CACERES-1-4.xls" TargetMode="External"/></Relationships>
</file>

<file path=xl/externalLinks/_rels/externalLink41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4-CADIZ-1-4.xls" TargetMode="External"/></Relationships>
</file>

<file path=xl/externalLinks/_rels/externalLink41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4-CASTELLON-CASTELLO-1-4.xls" TargetMode="External"/></Relationships>
</file>

<file path=xl/externalLinks/_rels/externalLink41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4-CIUDAD%20REAL-1-4.xls" TargetMode="External"/></Relationships>
</file>

<file path=xl/externalLinks/_rels/externalLink41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4-CORDOBA-1-4.xls" TargetMode="External"/></Relationships>
</file>

<file path=xl/externalLinks/_rels/externalLink41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4-A%20CORU&#209;A-1-4.xls" TargetMode="External"/></Relationships>
</file>

<file path=xl/externalLinks/_rels/externalLink41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4-CUENCA-1-4.xls" TargetMode="External"/></Relationships>
</file>

<file path=xl/externalLinks/_rels/externalLink41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4-GIRONA-1-4.xls" TargetMode="External"/></Relationships>
</file>

<file path=xl/externalLinks/_rels/externalLink41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4-GRANADA-1-4.xls" TargetMode="External"/></Relationships>
</file>

<file path=xl/externalLinks/_rels/externalLink41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4-GUADALAJARA-1-4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2-SORIA-1-4.xlsx" TargetMode="External"/></Relationships>
</file>

<file path=xl/externalLinks/_rels/externalLink42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4-GIPUZKOA-1-4.xls" TargetMode="External"/></Relationships>
</file>

<file path=xl/externalLinks/_rels/externalLink42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4-HUELVA-1-4.xls" TargetMode="External"/></Relationships>
</file>

<file path=xl/externalLinks/_rels/externalLink42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4-HUESCA-1-4.xls" TargetMode="External"/></Relationships>
</file>

<file path=xl/externalLinks/_rels/externalLink42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4-JAEN-1-4.xls" TargetMode="External"/></Relationships>
</file>

<file path=xl/externalLinks/_rels/externalLink42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4-LEON-1-4.xls" TargetMode="External"/></Relationships>
</file>

<file path=xl/externalLinks/_rels/externalLink42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4-LLEIDA-1-4.xls" TargetMode="External"/></Relationships>
</file>

<file path=xl/externalLinks/_rels/externalLink42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4-LA%20RIOJA-1-4.xls" TargetMode="External"/></Relationships>
</file>

<file path=xl/externalLinks/_rels/externalLink42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4-LUGO-1-4.xls" TargetMode="External"/></Relationships>
</file>

<file path=xl/externalLinks/_rels/externalLink42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4-MADRID-1-4.xls" TargetMode="External"/></Relationships>
</file>

<file path=xl/externalLinks/_rels/externalLink42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4-MALAGA-1-4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2-TARRAGONA-1-4.xlsx" TargetMode="External"/></Relationships>
</file>

<file path=xl/externalLinks/_rels/externalLink43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4-MURCIA-1-4.xls" TargetMode="External"/></Relationships>
</file>

<file path=xl/externalLinks/_rels/externalLink43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4-NAVARRA-1-4.xls" TargetMode="External"/></Relationships>
</file>

<file path=xl/externalLinks/_rels/externalLink43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4-OURENSE-1-4.xls" TargetMode="External"/></Relationships>
</file>

<file path=xl/externalLinks/_rels/externalLink43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4-ASTURIAS-1-4.xls" TargetMode="External"/></Relationships>
</file>

<file path=xl/externalLinks/_rels/externalLink43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4-PALENCIA-1-4.xls" TargetMode="External"/></Relationships>
</file>

<file path=xl/externalLinks/_rels/externalLink43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4-LAS%20PALMAS-1-4.xls" TargetMode="External"/></Relationships>
</file>

<file path=xl/externalLinks/_rels/externalLink43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4-PONTEVEDRA-1-4.xls" TargetMode="External"/></Relationships>
</file>

<file path=xl/externalLinks/_rels/externalLink43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4-SALAMANCA-1-4.xls" TargetMode="External"/></Relationships>
</file>

<file path=xl/externalLinks/_rels/externalLink43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4-SANTA%20CRUZ%20DE%20TENERIFE-1-4.xls" TargetMode="External"/></Relationships>
</file>

<file path=xl/externalLinks/_rels/externalLink43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4-CANTABRIA-1-4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2-TERUEL-1-4.xlsx" TargetMode="External"/></Relationships>
</file>

<file path=xl/externalLinks/_rels/externalLink44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4-SEGOVIA-1-4.xls" TargetMode="External"/></Relationships>
</file>

<file path=xl/externalLinks/_rels/externalLink44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4-SEVILLA-1-4.xls" TargetMode="External"/></Relationships>
</file>

<file path=xl/externalLinks/_rels/externalLink44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4-SORIA-1-4.xls" TargetMode="External"/></Relationships>
</file>

<file path=xl/externalLinks/_rels/externalLink44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4-TARRAGONA-1-4.xls" TargetMode="External"/></Relationships>
</file>

<file path=xl/externalLinks/_rels/externalLink44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4-TERUEL-1-4.xls" TargetMode="External"/></Relationships>
</file>

<file path=xl/externalLinks/_rels/externalLink44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4-TOLEDO-1-4.xls" TargetMode="External"/></Relationships>
</file>

<file path=xl/externalLinks/_rels/externalLink44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4-VALENCIA-1-4.xls" TargetMode="External"/></Relationships>
</file>

<file path=xl/externalLinks/_rels/externalLink44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4-VALLADOLID-1-4.xls" TargetMode="External"/></Relationships>
</file>

<file path=xl/externalLinks/_rels/externalLink44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4-BIZKAIA-1-4.xls" TargetMode="External"/></Relationships>
</file>

<file path=xl/externalLinks/_rels/externalLink44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4-ZAMORA-1-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2-TOLEDO-1-4.xlsx" TargetMode="External"/></Relationships>
</file>

<file path=xl/externalLinks/_rels/externalLink45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4-ZARAGOZA-1-4.xls" TargetMode="External"/></Relationships>
</file>

<file path=xl/externalLinks/_rels/externalLink45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3-ARABA-ALAVA-1-4.xls" TargetMode="External"/></Relationships>
</file>

<file path=xl/externalLinks/_rels/externalLink45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3-ALBACETE-1-4.XLS" TargetMode="External"/></Relationships>
</file>

<file path=xl/externalLinks/_rels/externalLink45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3-ALICANTE-ALACANT-1-4.xls" TargetMode="External"/></Relationships>
</file>

<file path=xl/externalLinks/_rels/externalLink45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3-ALMERIA-1-4.xls" TargetMode="External"/></Relationships>
</file>

<file path=xl/externalLinks/_rels/externalLink45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3-AVILA-1-4.xls" TargetMode="External"/></Relationships>
</file>

<file path=xl/externalLinks/_rels/externalLink45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3-BADAJOZ-1-4.xls" TargetMode="External"/></Relationships>
</file>

<file path=xl/externalLinks/_rels/externalLink45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3-ILLES%20BALEARS-1-4.xls" TargetMode="External"/></Relationships>
</file>

<file path=xl/externalLinks/_rels/externalLink45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3-BARCELONA-1-4.xls" TargetMode="External"/></Relationships>
</file>

<file path=xl/externalLinks/_rels/externalLink45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3-BURGOS-1-4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2-VALENCIA-1-4.xlsx" TargetMode="External"/></Relationships>
</file>

<file path=xl/externalLinks/_rels/externalLink46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3-CACERES-1-4.xls" TargetMode="External"/></Relationships>
</file>

<file path=xl/externalLinks/_rels/externalLink46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3-CADIZ-1-4.xls" TargetMode="External"/></Relationships>
</file>

<file path=xl/externalLinks/_rels/externalLink46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3-CASTELLON-CASTELLO-1-4.xls" TargetMode="External"/></Relationships>
</file>

<file path=xl/externalLinks/_rels/externalLink46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3-CIUDAD%20REAL-1-4.xls" TargetMode="External"/></Relationships>
</file>

<file path=xl/externalLinks/_rels/externalLink46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3-CORDOBA-1-4.xls" TargetMode="External"/></Relationships>
</file>

<file path=xl/externalLinks/_rels/externalLink46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3-A%20CORU&#209;A-1-4.xls" TargetMode="External"/></Relationships>
</file>

<file path=xl/externalLinks/_rels/externalLink46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3-CUENCA-1-4.xls" TargetMode="External"/></Relationships>
</file>

<file path=xl/externalLinks/_rels/externalLink46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3-GIRONA-1-4.xls" TargetMode="External"/></Relationships>
</file>

<file path=xl/externalLinks/_rels/externalLink46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3-GRANADA-1-4.xls" TargetMode="External"/></Relationships>
</file>

<file path=xl/externalLinks/_rels/externalLink46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3-GUADALAJARA-1-4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2-VALLADOLID-1-4.xlsx" TargetMode="External"/></Relationships>
</file>

<file path=xl/externalLinks/_rels/externalLink47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3-GIPUZKOA-1-4.xls" TargetMode="External"/></Relationships>
</file>

<file path=xl/externalLinks/_rels/externalLink47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3-HUELVA-1-4.xls" TargetMode="External"/></Relationships>
</file>

<file path=xl/externalLinks/_rels/externalLink47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3-HUESCA-1-4.xls" TargetMode="External"/></Relationships>
</file>

<file path=xl/externalLinks/_rels/externalLink47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3-JAEN-1-4.xls" TargetMode="External"/></Relationships>
</file>

<file path=xl/externalLinks/_rels/externalLink47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3-LEON-1-4.xls" TargetMode="External"/></Relationships>
</file>

<file path=xl/externalLinks/_rels/externalLink47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3-LLEIDA-1-4.xls" TargetMode="External"/></Relationships>
</file>

<file path=xl/externalLinks/_rels/externalLink47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3-LA%20RIOJA-1-4.xls" TargetMode="External"/></Relationships>
</file>

<file path=xl/externalLinks/_rels/externalLink47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3-LUGO-1-4.xls" TargetMode="External"/></Relationships>
</file>

<file path=xl/externalLinks/_rels/externalLink47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3-MADRID-1-4.xls" TargetMode="External"/></Relationships>
</file>

<file path=xl/externalLinks/_rels/externalLink47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3-MALAGA-1-4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2-BIZKAIA-1-4.xlsx" TargetMode="External"/></Relationships>
</file>

<file path=xl/externalLinks/_rels/externalLink48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3-MURCIA-1-4.xls" TargetMode="External"/></Relationships>
</file>

<file path=xl/externalLinks/_rels/externalLink48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3-NAVARRA-1-4.xls" TargetMode="External"/></Relationships>
</file>

<file path=xl/externalLinks/_rels/externalLink48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3-OURENSE-1-4.xls" TargetMode="External"/></Relationships>
</file>

<file path=xl/externalLinks/_rels/externalLink48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3-ASTURIAS-1-4.xls" TargetMode="External"/></Relationships>
</file>

<file path=xl/externalLinks/_rels/externalLink48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3-PALENCIA-1-4.xls" TargetMode="External"/></Relationships>
</file>

<file path=xl/externalLinks/_rels/externalLink48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3-LAS%20PALMAS-1-4.xls" TargetMode="External"/></Relationships>
</file>

<file path=xl/externalLinks/_rels/externalLink48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3-PONTEVEDRA-1-4.xls" TargetMode="External"/></Relationships>
</file>

<file path=xl/externalLinks/_rels/externalLink48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3-SALAMANCA-1-4.xls" TargetMode="External"/></Relationships>
</file>

<file path=xl/externalLinks/_rels/externalLink48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3-SANTA%20CRUZ%20DE%20TENERIFE-1-4.xls" TargetMode="External"/></Relationships>
</file>

<file path=xl/externalLinks/_rels/externalLink48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3-CANTABRIA-1-4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2-ZAMORA-1-4.xlsx" TargetMode="External"/></Relationships>
</file>

<file path=xl/externalLinks/_rels/externalLink49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3-SEGOVIA-1-4.xls" TargetMode="External"/></Relationships>
</file>

<file path=xl/externalLinks/_rels/externalLink49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3-SEVILLA-1-4.xls" TargetMode="External"/></Relationships>
</file>

<file path=xl/externalLinks/_rels/externalLink49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3-SORIA-1-4.xls" TargetMode="External"/></Relationships>
</file>

<file path=xl/externalLinks/_rels/externalLink49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3-TARRAGONA-1-4.xls" TargetMode="External"/></Relationships>
</file>

<file path=xl/externalLinks/_rels/externalLink49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3-TERUEL-1-4.xls" TargetMode="External"/></Relationships>
</file>

<file path=xl/externalLinks/_rels/externalLink49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3-TOLEDO-1-4.xls" TargetMode="External"/></Relationships>
</file>

<file path=xl/externalLinks/_rels/externalLink49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3-VALENCIA-1-4.xls" TargetMode="External"/></Relationships>
</file>

<file path=xl/externalLinks/_rels/externalLink49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3-VALLADOLID-1-4.xls" TargetMode="External"/></Relationships>
</file>

<file path=xl/externalLinks/_rels/externalLink49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3-BIZKAIA-1-4.xls" TargetMode="External"/></Relationships>
</file>

<file path=xl/externalLinks/_rels/externalLink49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3-ZAMORA-1-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2-AVILA-1-4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2-ZARAGOZA-1-4.xlsx" TargetMode="External"/></Relationships>
</file>

<file path=xl/externalLinks/_rels/externalLink50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3-ZARAGOZA-1-4.xls" TargetMode="External"/></Relationships>
</file>

<file path=xl/externalLinks/_rels/externalLink50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2-ARABA-ALAVA-1-4.xls" TargetMode="External"/></Relationships>
</file>

<file path=xl/externalLinks/_rels/externalLink50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2-ALBACETE-1-4.XLS" TargetMode="External"/></Relationships>
</file>

<file path=xl/externalLinks/_rels/externalLink50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2-ALICANTE-ALACANT-1-4.xls" TargetMode="External"/></Relationships>
</file>

<file path=xl/externalLinks/_rels/externalLink50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2-ALMERIA-1-4.xls" TargetMode="External"/></Relationships>
</file>

<file path=xl/externalLinks/_rels/externalLink50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2-AVILA-1-4.xls" TargetMode="External"/></Relationships>
</file>

<file path=xl/externalLinks/_rels/externalLink50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2-BADAJOZ-1-4.xls" TargetMode="External"/></Relationships>
</file>

<file path=xl/externalLinks/_rels/externalLink50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2-ILLES%20BALEARS-1-4.xls" TargetMode="External"/></Relationships>
</file>

<file path=xl/externalLinks/_rels/externalLink50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2-BARCELONA-1-4.xls" TargetMode="External"/></Relationships>
</file>

<file path=xl/externalLinks/_rels/externalLink50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2-BURGOS-1-4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1-ARABA-ALAVA-1-4.xlsx" TargetMode="External"/></Relationships>
</file>

<file path=xl/externalLinks/_rels/externalLink51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2-CACERES-1-4.xls" TargetMode="External"/></Relationships>
</file>

<file path=xl/externalLinks/_rels/externalLink51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2-CADIZ-1-4.xls" TargetMode="External"/></Relationships>
</file>

<file path=xl/externalLinks/_rels/externalLink51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2-CASTELLON-CASTELLO-1-4.xls" TargetMode="External"/></Relationships>
</file>

<file path=xl/externalLinks/_rels/externalLink51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2-CIUDAD%20REAL-1-4.xls" TargetMode="External"/></Relationships>
</file>

<file path=xl/externalLinks/_rels/externalLink51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2-CORDOBA-1-4.xls" TargetMode="External"/></Relationships>
</file>

<file path=xl/externalLinks/_rels/externalLink51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2-A%20CORU&#209;A-1-4.xls" TargetMode="External"/></Relationships>
</file>

<file path=xl/externalLinks/_rels/externalLink51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2-CUENCA-1-4.xls" TargetMode="External"/></Relationships>
</file>

<file path=xl/externalLinks/_rels/externalLink51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2-GIRONA-1-4.xls" TargetMode="External"/></Relationships>
</file>

<file path=xl/externalLinks/_rels/externalLink51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2-GRANADA-1-4.xls" TargetMode="External"/></Relationships>
</file>

<file path=xl/externalLinks/_rels/externalLink51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2-GUADALAJARA-1-4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1-ALBACETE-1-4.xlsx" TargetMode="External"/></Relationships>
</file>

<file path=xl/externalLinks/_rels/externalLink52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2-GIPUZKOA-1-4.xls" TargetMode="External"/></Relationships>
</file>

<file path=xl/externalLinks/_rels/externalLink52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2-HUELVA-1-4.xls" TargetMode="External"/></Relationships>
</file>

<file path=xl/externalLinks/_rels/externalLink52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2-HUESCA-1-4.xls" TargetMode="External"/></Relationships>
</file>

<file path=xl/externalLinks/_rels/externalLink52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2-JAEN-1-4.xls" TargetMode="External"/></Relationships>
</file>

<file path=xl/externalLinks/_rels/externalLink52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2-LEON-1-4.xls" TargetMode="External"/></Relationships>
</file>

<file path=xl/externalLinks/_rels/externalLink52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2-LLEIDA-1-4.xls" TargetMode="External"/></Relationships>
</file>

<file path=xl/externalLinks/_rels/externalLink52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2-LA%20RIOJA-1-4.xls" TargetMode="External"/></Relationships>
</file>

<file path=xl/externalLinks/_rels/externalLink52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2-LUGO-1-4.xls" TargetMode="External"/></Relationships>
</file>

<file path=xl/externalLinks/_rels/externalLink52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2-MADRID-1-4.xls" TargetMode="External"/></Relationships>
</file>

<file path=xl/externalLinks/_rels/externalLink52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2-MALAGA-1-4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1-ALICANTE-ALACANT-1-4.xlsx" TargetMode="External"/></Relationships>
</file>

<file path=xl/externalLinks/_rels/externalLink53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2-MURCIA-1-4.xls" TargetMode="External"/></Relationships>
</file>

<file path=xl/externalLinks/_rels/externalLink53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2-NAVARRA-1-4.xls" TargetMode="External"/></Relationships>
</file>

<file path=xl/externalLinks/_rels/externalLink53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2-OURENSE-1-4.xls" TargetMode="External"/></Relationships>
</file>

<file path=xl/externalLinks/_rels/externalLink53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2-ASTURIAS-1-4.xls" TargetMode="External"/></Relationships>
</file>

<file path=xl/externalLinks/_rels/externalLink53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2-PALENCIA-1-4.xls" TargetMode="External"/></Relationships>
</file>

<file path=xl/externalLinks/_rels/externalLink53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2-LAS%20PALMAS-1-4.xls" TargetMode="External"/></Relationships>
</file>

<file path=xl/externalLinks/_rels/externalLink53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2-PONTEVEDRA-1-4.xls" TargetMode="External"/></Relationships>
</file>

<file path=xl/externalLinks/_rels/externalLink53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2-SALAMANCA-1-4.xls" TargetMode="External"/></Relationships>
</file>

<file path=xl/externalLinks/_rels/externalLink53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2-SANTA%20CRUZ%20DE%20TENERIFE-1-4.xls" TargetMode="External"/></Relationships>
</file>

<file path=xl/externalLinks/_rels/externalLink53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2-CANTABRIA-1-4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1-ALMERIA-1-4.xlsx" TargetMode="External"/></Relationships>
</file>

<file path=xl/externalLinks/_rels/externalLink54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2-SEGOVIA-1-4.xls" TargetMode="External"/></Relationships>
</file>

<file path=xl/externalLinks/_rels/externalLink54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2-SEVILLA-1-4.xls" TargetMode="External"/></Relationships>
</file>

<file path=xl/externalLinks/_rels/externalLink54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2-SORIA-1-4.xls" TargetMode="External"/></Relationships>
</file>

<file path=xl/externalLinks/_rels/externalLink54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2-TARRAGONA-1-4.xls" TargetMode="External"/></Relationships>
</file>

<file path=xl/externalLinks/_rels/externalLink54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2-TERUEL-1-4.xls" TargetMode="External"/></Relationships>
</file>

<file path=xl/externalLinks/_rels/externalLink54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2-TOLEDO-1-4.xls" TargetMode="External"/></Relationships>
</file>

<file path=xl/externalLinks/_rels/externalLink54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2-VALENCIA-1-4.xls" TargetMode="External"/></Relationships>
</file>

<file path=xl/externalLinks/_rels/externalLink54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2-VALLADOLID-1-4.xls" TargetMode="External"/></Relationships>
</file>

<file path=xl/externalLinks/_rels/externalLink54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2-BIZKAIA-1-4.xls" TargetMode="External"/></Relationships>
</file>

<file path=xl/externalLinks/_rels/externalLink54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2-ZAMORA-1-4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1-AVILA-1-4.xlsx" TargetMode="External"/></Relationships>
</file>

<file path=xl/externalLinks/_rels/externalLink55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2-ZARAGOZA-1-4.xls" TargetMode="External"/></Relationships>
</file>

<file path=xl/externalLinks/_rels/externalLink55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1-ARABA-ALAVA-1-4.xls" TargetMode="External"/></Relationships>
</file>

<file path=xl/externalLinks/_rels/externalLink55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1-ALBACETE-1-4.XLS" TargetMode="External"/></Relationships>
</file>

<file path=xl/externalLinks/_rels/externalLink55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1-ALICANTE-ALACANT-1-4.xls" TargetMode="External"/></Relationships>
</file>

<file path=xl/externalLinks/_rels/externalLink55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1-ALMERIA-1-4.xls" TargetMode="External"/></Relationships>
</file>

<file path=xl/externalLinks/_rels/externalLink55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1-AVILA-1-4.xls" TargetMode="External"/></Relationships>
</file>

<file path=xl/externalLinks/_rels/externalLink55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1-BADAJOZ-1-4.xls" TargetMode="External"/></Relationships>
</file>

<file path=xl/externalLinks/_rels/externalLink55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1-ILLES%20BALEARS-1-4.xls" TargetMode="External"/></Relationships>
</file>

<file path=xl/externalLinks/_rels/externalLink55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1-BARCELONA-1-4.xls" TargetMode="External"/></Relationships>
</file>

<file path=xl/externalLinks/_rels/externalLink55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1-BURGOS-1-4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1-BADAJOZ-1-4.xlsx" TargetMode="External"/></Relationships>
</file>

<file path=xl/externalLinks/_rels/externalLink56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1-CACERES-1-4.xls" TargetMode="External"/></Relationships>
</file>

<file path=xl/externalLinks/_rels/externalLink56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1-CADIZ-1-4.xls" TargetMode="External"/></Relationships>
</file>

<file path=xl/externalLinks/_rels/externalLink56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1-CASTELLON-CASTELLO-1-4.xls" TargetMode="External"/></Relationships>
</file>

<file path=xl/externalLinks/_rels/externalLink56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1-CIUDAD%20REAL-1-4.xls" TargetMode="External"/></Relationships>
</file>

<file path=xl/externalLinks/_rels/externalLink56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1-CORDOBA-1-4.xls" TargetMode="External"/></Relationships>
</file>

<file path=xl/externalLinks/_rels/externalLink56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1-A%20CORU&#209;A-1-4.xls" TargetMode="External"/></Relationships>
</file>

<file path=xl/externalLinks/_rels/externalLink56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1-CUENCA-1-4.xls" TargetMode="External"/></Relationships>
</file>

<file path=xl/externalLinks/_rels/externalLink56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1-GIRONA-1-4.xls" TargetMode="External"/></Relationships>
</file>

<file path=xl/externalLinks/_rels/externalLink56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1-GRANADA-1-4.xls" TargetMode="External"/></Relationships>
</file>

<file path=xl/externalLinks/_rels/externalLink56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1-GUADALAJARA-1-4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1-ILLES%20BALEARS-1-4.xlsx" TargetMode="External"/></Relationships>
</file>

<file path=xl/externalLinks/_rels/externalLink57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1-GIPUZKOA-1-4.xls" TargetMode="External"/></Relationships>
</file>

<file path=xl/externalLinks/_rels/externalLink57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1-HUELVA-1-4.xls" TargetMode="External"/></Relationships>
</file>

<file path=xl/externalLinks/_rels/externalLink57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1-HUESCA-1-4.xls" TargetMode="External"/></Relationships>
</file>

<file path=xl/externalLinks/_rels/externalLink57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1-JAEN-1-4.xls" TargetMode="External"/></Relationships>
</file>

<file path=xl/externalLinks/_rels/externalLink57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1-LEON-1-4.xls" TargetMode="External"/></Relationships>
</file>

<file path=xl/externalLinks/_rels/externalLink57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1-LLEIDA-1-4.xls" TargetMode="External"/></Relationships>
</file>

<file path=xl/externalLinks/_rels/externalLink57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1-LA%20RIOJA-1-4.xls" TargetMode="External"/></Relationships>
</file>

<file path=xl/externalLinks/_rels/externalLink57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1-LUGO-1-4.xls" TargetMode="External"/></Relationships>
</file>

<file path=xl/externalLinks/_rels/externalLink57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1-MADRID-1-4.xls" TargetMode="External"/></Relationships>
</file>

<file path=xl/externalLinks/_rels/externalLink57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1-MALAGA-1-4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1-BARCELONA-1-4.xlsx" TargetMode="External"/></Relationships>
</file>

<file path=xl/externalLinks/_rels/externalLink58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1-MURCIA-1-4.xls" TargetMode="External"/></Relationships>
</file>

<file path=xl/externalLinks/_rels/externalLink58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1-NAVARRA-1-4.xls" TargetMode="External"/></Relationships>
</file>

<file path=xl/externalLinks/_rels/externalLink58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1-OURENSE-1-4.xls" TargetMode="External"/></Relationships>
</file>

<file path=xl/externalLinks/_rels/externalLink58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1-ASTURIAS-1-4.xls" TargetMode="External"/></Relationships>
</file>

<file path=xl/externalLinks/_rels/externalLink58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1-PALENCIA-1-4.xls" TargetMode="External"/></Relationships>
</file>

<file path=xl/externalLinks/_rels/externalLink58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1-LAS%20PALMAS-1-4.xls" TargetMode="External"/></Relationships>
</file>

<file path=xl/externalLinks/_rels/externalLink58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1-PONTEVEDRA-1-4.xls" TargetMode="External"/></Relationships>
</file>

<file path=xl/externalLinks/_rels/externalLink58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1-SALAMANCA-1-4.xls" TargetMode="External"/></Relationships>
</file>

<file path=xl/externalLinks/_rels/externalLink58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1-SANTA%20CRUZ%20DE%20TENERIFE-1-4.xls" TargetMode="External"/></Relationships>
</file>

<file path=xl/externalLinks/_rels/externalLink58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1-CANTABRIA-1-4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1-BURGOS-1-4.xlsx" TargetMode="External"/></Relationships>
</file>

<file path=xl/externalLinks/_rels/externalLink59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1-SEGOVIA-1-4.xls" TargetMode="External"/></Relationships>
</file>

<file path=xl/externalLinks/_rels/externalLink59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1-SEVILLA-1-4.xls" TargetMode="External"/></Relationships>
</file>

<file path=xl/externalLinks/_rels/externalLink59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1-SORIA-1-4.xls" TargetMode="External"/></Relationships>
</file>

<file path=xl/externalLinks/_rels/externalLink59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1-TARRAGONA-1-4.xls" TargetMode="External"/></Relationships>
</file>

<file path=xl/externalLinks/_rels/externalLink59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1-TERUEL-1-4.xls" TargetMode="External"/></Relationships>
</file>

<file path=xl/externalLinks/_rels/externalLink59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1-TOLEDO-1-4.xls" TargetMode="External"/></Relationships>
</file>

<file path=xl/externalLinks/_rels/externalLink59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1-VALENCIA-1-4.xls" TargetMode="External"/></Relationships>
</file>

<file path=xl/externalLinks/_rels/externalLink59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1-VALLADOLID-1-4.xls" TargetMode="External"/></Relationships>
</file>

<file path=xl/externalLinks/_rels/externalLink59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1-BIZKAIA-1-4.xls" TargetMode="External"/></Relationships>
</file>

<file path=xl/externalLinks/_rels/externalLink59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1-ZAMORA-1-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2-BADAJOZ-1-4.xlsx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1-CACERES-1-4.xlsx" TargetMode="External"/></Relationships>
</file>

<file path=xl/externalLinks/_rels/externalLink60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1-ZARAGOZA-1-4.xls" TargetMode="External"/></Relationships>
</file>

<file path=xl/externalLinks/_rels/externalLink60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0-ARABA-ALAVA-1-4.xls" TargetMode="External"/></Relationships>
</file>

<file path=xl/externalLinks/_rels/externalLink60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0-ALBACETE-1-4.XLS" TargetMode="External"/></Relationships>
</file>

<file path=xl/externalLinks/_rels/externalLink60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0-ALICANTE-ALACANT-1-4.xls" TargetMode="External"/></Relationships>
</file>

<file path=xl/externalLinks/_rels/externalLink60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0-ALMERIA-1-4.xls" TargetMode="External"/></Relationships>
</file>

<file path=xl/externalLinks/_rels/externalLink60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0-AVILA-1-4.xls" TargetMode="External"/></Relationships>
</file>

<file path=xl/externalLinks/_rels/externalLink60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0-BADAJOZ-1-4.xls" TargetMode="External"/></Relationships>
</file>

<file path=xl/externalLinks/_rels/externalLink60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0-ILLES%20BALEARS-1-4.xls" TargetMode="External"/></Relationships>
</file>

<file path=xl/externalLinks/_rels/externalLink60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0-BARCELONA-1-4.xls" TargetMode="External"/></Relationships>
</file>

<file path=xl/externalLinks/_rels/externalLink60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0-BURGOS-1-4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1-CADIZ-1-4.xlsx" TargetMode="External"/></Relationships>
</file>

<file path=xl/externalLinks/_rels/externalLink61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0-CACERES-1-4.xls" TargetMode="External"/></Relationships>
</file>

<file path=xl/externalLinks/_rels/externalLink61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0-CADIZ-1-4.xls" TargetMode="External"/></Relationships>
</file>

<file path=xl/externalLinks/_rels/externalLink61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0-CASTELLON-CASTELLO-1-4.xls" TargetMode="External"/></Relationships>
</file>

<file path=xl/externalLinks/_rels/externalLink61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0-CIUDAD%20REAL-1-4.xls" TargetMode="External"/></Relationships>
</file>

<file path=xl/externalLinks/_rels/externalLink61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0-CORDOBA-1-4.xls" TargetMode="External"/></Relationships>
</file>

<file path=xl/externalLinks/_rels/externalLink61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0-A%20CORU&#209;A-1-4.xls" TargetMode="External"/></Relationships>
</file>

<file path=xl/externalLinks/_rels/externalLink61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0-CUENCA-1-4.xls" TargetMode="External"/></Relationships>
</file>

<file path=xl/externalLinks/_rels/externalLink61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0-GIRONA-1-4.xls" TargetMode="External"/></Relationships>
</file>

<file path=xl/externalLinks/_rels/externalLink61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0-GRANADA-1-4.xls" TargetMode="External"/></Relationships>
</file>

<file path=xl/externalLinks/_rels/externalLink61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0-GUADALAJARA-1-4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1-CASTELLON-CASTELLO-1-4.xlsx" TargetMode="External"/></Relationships>
</file>

<file path=xl/externalLinks/_rels/externalLink62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0-GIPUZKOA-1-4.xls" TargetMode="External"/></Relationships>
</file>

<file path=xl/externalLinks/_rels/externalLink62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0-HUELVA-1-4.xls" TargetMode="External"/></Relationships>
</file>

<file path=xl/externalLinks/_rels/externalLink62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0-HUESCA-1-4.xls" TargetMode="External"/></Relationships>
</file>

<file path=xl/externalLinks/_rels/externalLink62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0-JAEN-1-4.xls" TargetMode="External"/></Relationships>
</file>

<file path=xl/externalLinks/_rels/externalLink62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0-LEON-1-4.xls" TargetMode="External"/></Relationships>
</file>

<file path=xl/externalLinks/_rels/externalLink62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0-LLEIDA-1-4.xls" TargetMode="External"/></Relationships>
</file>

<file path=xl/externalLinks/_rels/externalLink62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0-LA%20RIOJA-1-4.xls" TargetMode="External"/></Relationships>
</file>

<file path=xl/externalLinks/_rels/externalLink62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0-LUGO-1-4.xls" TargetMode="External"/></Relationships>
</file>

<file path=xl/externalLinks/_rels/externalLink62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0-MADRID-1-4.xls" TargetMode="External"/></Relationships>
</file>

<file path=xl/externalLinks/_rels/externalLink62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0-MALAGA-1-4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1-CIUDAD%20REAL-1-4.xlsx" TargetMode="External"/></Relationships>
</file>

<file path=xl/externalLinks/_rels/externalLink63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0-MURCIA-1-4.xls" TargetMode="External"/></Relationships>
</file>

<file path=xl/externalLinks/_rels/externalLink63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0-NAVARRA-1-4.xls" TargetMode="External"/></Relationships>
</file>

<file path=xl/externalLinks/_rels/externalLink63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0-OURENSE-1-4.xls" TargetMode="External"/></Relationships>
</file>

<file path=xl/externalLinks/_rels/externalLink63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0-ASTURIAS-1-4.xls" TargetMode="External"/></Relationships>
</file>

<file path=xl/externalLinks/_rels/externalLink63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0-PALENCIA-1-4.xls" TargetMode="External"/></Relationships>
</file>

<file path=xl/externalLinks/_rels/externalLink63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0-LAS%20PALMAS-1-4.xls" TargetMode="External"/></Relationships>
</file>

<file path=xl/externalLinks/_rels/externalLink63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0-PONTEVEDRA-1-4.xls" TargetMode="External"/></Relationships>
</file>

<file path=xl/externalLinks/_rels/externalLink63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0-SALAMANCA-1-4.xls" TargetMode="External"/></Relationships>
</file>

<file path=xl/externalLinks/_rels/externalLink63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0-SANTA%20CRUZ%20DE%20TENERIFE-1-4.xls" TargetMode="External"/></Relationships>
</file>

<file path=xl/externalLinks/_rels/externalLink63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0-CANTABRIA-1-4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1-CORDOBA-1-4.xlsx" TargetMode="External"/></Relationships>
</file>

<file path=xl/externalLinks/_rels/externalLink64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0-SEGOVIA-1-4.xls" TargetMode="External"/></Relationships>
</file>

<file path=xl/externalLinks/_rels/externalLink64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0-SEVILLA-1-4.xls" TargetMode="External"/></Relationships>
</file>

<file path=xl/externalLinks/_rels/externalLink64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0-SORIA-1-4.xls" TargetMode="External"/></Relationships>
</file>

<file path=xl/externalLinks/_rels/externalLink64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0-TARRAGONA-1-4.xls" TargetMode="External"/></Relationships>
</file>

<file path=xl/externalLinks/_rels/externalLink64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0-TERUEL-1-4.xls" TargetMode="External"/></Relationships>
</file>

<file path=xl/externalLinks/_rels/externalLink64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0-TOLEDO-1-4.xls" TargetMode="External"/></Relationships>
</file>

<file path=xl/externalLinks/_rels/externalLink64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0-VALENCIA-1-4.xls" TargetMode="External"/></Relationships>
</file>

<file path=xl/externalLinks/_rels/externalLink64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0-VALLADOLID-1-4.xls" TargetMode="External"/></Relationships>
</file>

<file path=xl/externalLinks/_rels/externalLink64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0-BIZKAIA-1-4.xls" TargetMode="External"/></Relationships>
</file>

<file path=xl/externalLinks/_rels/externalLink64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0-ZAMORA-1-4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1-A%20CORU&#209;A-1-4.xlsx" TargetMode="External"/></Relationships>
</file>

<file path=xl/externalLinks/_rels/externalLink65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10-ZARAGOZA-1-4.xls" TargetMode="External"/></Relationships>
</file>

<file path=xl/externalLinks/_rels/externalLink65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9-ARABA-ALAVA-1-4.xls" TargetMode="External"/></Relationships>
</file>

<file path=xl/externalLinks/_rels/externalLink65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9-ALBACETE-1-4.XLS" TargetMode="External"/></Relationships>
</file>

<file path=xl/externalLinks/_rels/externalLink65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9-ALICANTE-ALACANT-1-4.xls" TargetMode="External"/></Relationships>
</file>

<file path=xl/externalLinks/_rels/externalLink65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9-ALMERIA-1-4.xls" TargetMode="External"/></Relationships>
</file>

<file path=xl/externalLinks/_rels/externalLink65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9-AVILA-1-4.xls" TargetMode="External"/></Relationships>
</file>

<file path=xl/externalLinks/_rels/externalLink65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9-BADAJOZ-1-4.xls" TargetMode="External"/></Relationships>
</file>

<file path=xl/externalLinks/_rels/externalLink65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9-ILLES%20BALEARS-1-4.xls" TargetMode="External"/></Relationships>
</file>

<file path=xl/externalLinks/_rels/externalLink65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9-BARCELONA-1-4.xls" TargetMode="External"/></Relationships>
</file>

<file path=xl/externalLinks/_rels/externalLink65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9-BURGOS-1-4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1-CUENCA-1-4.xlsx" TargetMode="External"/></Relationships>
</file>

<file path=xl/externalLinks/_rels/externalLink66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9-CACERES-1-4.xls" TargetMode="External"/></Relationships>
</file>

<file path=xl/externalLinks/_rels/externalLink66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9-CADIZ-1-4.xls" TargetMode="External"/></Relationships>
</file>

<file path=xl/externalLinks/_rels/externalLink66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9-CASTELLON-CASTELLO-1-4.xls" TargetMode="External"/></Relationships>
</file>

<file path=xl/externalLinks/_rels/externalLink66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9-CIUDAD%20REAL-1-4.xls" TargetMode="External"/></Relationships>
</file>

<file path=xl/externalLinks/_rels/externalLink66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9-CORDOBA-1-4.xls" TargetMode="External"/></Relationships>
</file>

<file path=xl/externalLinks/_rels/externalLink66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9-A%20CORU&#209;A-1-4.xls" TargetMode="External"/></Relationships>
</file>

<file path=xl/externalLinks/_rels/externalLink66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9-CUENCA-1-4.xls" TargetMode="External"/></Relationships>
</file>

<file path=xl/externalLinks/_rels/externalLink66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9-GIRONA-1-4.xls" TargetMode="External"/></Relationships>
</file>

<file path=xl/externalLinks/_rels/externalLink66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9-GRANADA-1-4.xls" TargetMode="External"/></Relationships>
</file>

<file path=xl/externalLinks/_rels/externalLink66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9-GUADALAJARA-1-4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1-GIRONA-1-4.xlsx" TargetMode="External"/></Relationships>
</file>

<file path=xl/externalLinks/_rels/externalLink67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9-GIPUZKOA-1-4.xls" TargetMode="External"/></Relationships>
</file>

<file path=xl/externalLinks/_rels/externalLink67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9-HUELVA-1-4.xls" TargetMode="External"/></Relationships>
</file>

<file path=xl/externalLinks/_rels/externalLink67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9-HUESCA-1-4.xls" TargetMode="External"/></Relationships>
</file>

<file path=xl/externalLinks/_rels/externalLink67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9-JAEN-1-4.xls" TargetMode="External"/></Relationships>
</file>

<file path=xl/externalLinks/_rels/externalLink67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9-LEON-1-4.xls" TargetMode="External"/></Relationships>
</file>

<file path=xl/externalLinks/_rels/externalLink67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9-LLEIDA-1-4.xls" TargetMode="External"/></Relationships>
</file>

<file path=xl/externalLinks/_rels/externalLink67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9-LA%20RIOJA-1-4.xls" TargetMode="External"/></Relationships>
</file>

<file path=xl/externalLinks/_rels/externalLink67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9-LUGO-1-4.xls" TargetMode="External"/></Relationships>
</file>

<file path=xl/externalLinks/_rels/externalLink67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9-MADRID-1-4.xls" TargetMode="External"/></Relationships>
</file>

<file path=xl/externalLinks/_rels/externalLink67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9-MALAGA-1-4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1-GRANADA-1-4.xlsx" TargetMode="External"/></Relationships>
</file>

<file path=xl/externalLinks/_rels/externalLink68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9-MURCIA-1-4.xls" TargetMode="External"/></Relationships>
</file>

<file path=xl/externalLinks/_rels/externalLink68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9-NAVARRA-1-4.xls" TargetMode="External"/></Relationships>
</file>

<file path=xl/externalLinks/_rels/externalLink68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9-OURENSE-1-4.xls" TargetMode="External"/></Relationships>
</file>

<file path=xl/externalLinks/_rels/externalLink68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9-ASTURIAS-1-4.xls" TargetMode="External"/></Relationships>
</file>

<file path=xl/externalLinks/_rels/externalLink68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9-PALENCIA-1-4.xls" TargetMode="External"/></Relationships>
</file>

<file path=xl/externalLinks/_rels/externalLink68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9-LAS%20PALMAS-1-4.xls" TargetMode="External"/></Relationships>
</file>

<file path=xl/externalLinks/_rels/externalLink68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9-PONTEVEDRA-1-4.xls" TargetMode="External"/></Relationships>
</file>

<file path=xl/externalLinks/_rels/externalLink68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9-SALAMANCA-1-4.xls" TargetMode="External"/></Relationships>
</file>

<file path=xl/externalLinks/_rels/externalLink68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9-SANTA%20CRUZ%20DE%20TENERIFE-1-4.xls" TargetMode="External"/></Relationships>
</file>

<file path=xl/externalLinks/_rels/externalLink68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9-CANTABRIA-1-4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1-GUADALAJARA-1-4.xlsx" TargetMode="External"/></Relationships>
</file>

<file path=xl/externalLinks/_rels/externalLink69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9-SEGOVIA-1-4.xls" TargetMode="External"/></Relationships>
</file>

<file path=xl/externalLinks/_rels/externalLink69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9-SEVILLA-1-4.xls" TargetMode="External"/></Relationships>
</file>

<file path=xl/externalLinks/_rels/externalLink69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9-SORIA-1-4.xls" TargetMode="External"/></Relationships>
</file>

<file path=xl/externalLinks/_rels/externalLink69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9-TARRAGONA-1-4.xls" TargetMode="External"/></Relationships>
</file>

<file path=xl/externalLinks/_rels/externalLink69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9-TERUEL-1-4.xls" TargetMode="External"/></Relationships>
</file>

<file path=xl/externalLinks/_rels/externalLink69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9-TOLEDO-1-4.xls" TargetMode="External"/></Relationships>
</file>

<file path=xl/externalLinks/_rels/externalLink69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9-VALENCIA-1-4.xls" TargetMode="External"/></Relationships>
</file>

<file path=xl/externalLinks/_rels/externalLink69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9-VALLADOLID-1-4.xls" TargetMode="External"/></Relationships>
</file>

<file path=xl/externalLinks/_rels/externalLink69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9-BIZKAIA-1-4.xls" TargetMode="External"/></Relationships>
</file>

<file path=xl/externalLinks/_rels/externalLink69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9-ZAMORA-1-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2-ILLES%20BALEARS-1-4.xlsx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1-GIPUZKOA-1-4.xlsx" TargetMode="External"/></Relationships>
</file>

<file path=xl/externalLinks/_rels/externalLink70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9-ZARAGOZA-1-4.xls" TargetMode="External"/></Relationships>
</file>

<file path=xl/externalLinks/_rels/externalLink70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8-ARABA-ALAVA-1-4.xls" TargetMode="External"/></Relationships>
</file>

<file path=xl/externalLinks/_rels/externalLink70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8-ALBACETE-1-4.XLS" TargetMode="External"/></Relationships>
</file>

<file path=xl/externalLinks/_rels/externalLink70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8-ALICANTE-ALACANT-1-4.xls" TargetMode="External"/></Relationships>
</file>

<file path=xl/externalLinks/_rels/externalLink70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8-ALMERIA-1-4.xls" TargetMode="External"/></Relationships>
</file>

<file path=xl/externalLinks/_rels/externalLink70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8-AVILA-1-4.xls" TargetMode="External"/></Relationships>
</file>

<file path=xl/externalLinks/_rels/externalLink70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8-BADAJOZ-1-4.xls" TargetMode="External"/></Relationships>
</file>

<file path=xl/externalLinks/_rels/externalLink70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8-ILLES%20BALEARS-1-4.xls" TargetMode="External"/></Relationships>
</file>

<file path=xl/externalLinks/_rels/externalLink70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8-BARCELONA-1-4.xls" TargetMode="External"/></Relationships>
</file>

<file path=xl/externalLinks/_rels/externalLink70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8-BURGOS-1-4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1-HUELVA-1-4.xlsx" TargetMode="External"/></Relationships>
</file>

<file path=xl/externalLinks/_rels/externalLink71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8-CACERES-1-4.xls" TargetMode="External"/></Relationships>
</file>

<file path=xl/externalLinks/_rels/externalLink71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8-CADIZ-1-4.xls" TargetMode="External"/></Relationships>
</file>

<file path=xl/externalLinks/_rels/externalLink71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8-CASTELLON-CASTELLO-1-4.xls" TargetMode="External"/></Relationships>
</file>

<file path=xl/externalLinks/_rels/externalLink71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8-CIUDAD%20REAL-1-4.xls" TargetMode="External"/></Relationships>
</file>

<file path=xl/externalLinks/_rels/externalLink71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8-CORDOBA-1-4.xls" TargetMode="External"/></Relationships>
</file>

<file path=xl/externalLinks/_rels/externalLink71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8-A%20CORU&#209;A-1-4.xls" TargetMode="External"/></Relationships>
</file>

<file path=xl/externalLinks/_rels/externalLink71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8-CUENCA-1-4.xls" TargetMode="External"/></Relationships>
</file>

<file path=xl/externalLinks/_rels/externalLink71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8-GIRONA-1-4.xls" TargetMode="External"/></Relationships>
</file>

<file path=xl/externalLinks/_rels/externalLink71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8-GRANADA-1-4.xls" TargetMode="External"/></Relationships>
</file>

<file path=xl/externalLinks/_rels/externalLink71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8-GUADALAJARA-1-4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1-HUESCA-1-4.xlsx" TargetMode="External"/></Relationships>
</file>

<file path=xl/externalLinks/_rels/externalLink72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8-GIPUZKOA-1-4.xls" TargetMode="External"/></Relationships>
</file>

<file path=xl/externalLinks/_rels/externalLink72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8-HUELVA-1-4.xls" TargetMode="External"/></Relationships>
</file>

<file path=xl/externalLinks/_rels/externalLink72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8-HUESCA-1-4.xls" TargetMode="External"/></Relationships>
</file>

<file path=xl/externalLinks/_rels/externalLink72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8-JAEN-1-4.xls" TargetMode="External"/></Relationships>
</file>

<file path=xl/externalLinks/_rels/externalLink72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8-LEON-1-4.xls" TargetMode="External"/></Relationships>
</file>

<file path=xl/externalLinks/_rels/externalLink72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8-LLEIDA-1-4.xls" TargetMode="External"/></Relationships>
</file>

<file path=xl/externalLinks/_rels/externalLink72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8-LA%20RIOJA-1-4.xls" TargetMode="External"/></Relationships>
</file>

<file path=xl/externalLinks/_rels/externalLink72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8-LUGO-1-4.xls" TargetMode="External"/></Relationships>
</file>

<file path=xl/externalLinks/_rels/externalLink72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8-MADRID-1-4.xls" TargetMode="External"/></Relationships>
</file>

<file path=xl/externalLinks/_rels/externalLink72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8-MALAGA-1-4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1-JAEN-1-4.xlsx" TargetMode="External"/></Relationships>
</file>

<file path=xl/externalLinks/_rels/externalLink73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8-MURCIA-1-4.xls" TargetMode="External"/></Relationships>
</file>

<file path=xl/externalLinks/_rels/externalLink73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8-NAVARRA-1-4.xls" TargetMode="External"/></Relationships>
</file>

<file path=xl/externalLinks/_rels/externalLink73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8-OURENSE-1-4.xls" TargetMode="External"/></Relationships>
</file>

<file path=xl/externalLinks/_rels/externalLink73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8-ASTURIAS-1-4.xls" TargetMode="External"/></Relationships>
</file>

<file path=xl/externalLinks/_rels/externalLink73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8-PALENCIA-1-4.xls" TargetMode="External"/></Relationships>
</file>

<file path=xl/externalLinks/_rels/externalLink73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8-LAS%20PALMAS-1-4.xls" TargetMode="External"/></Relationships>
</file>

<file path=xl/externalLinks/_rels/externalLink73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8-PONTEVEDRA-1-4.xls" TargetMode="External"/></Relationships>
</file>

<file path=xl/externalLinks/_rels/externalLink73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8-SALAMANCA-1-4.xls" TargetMode="External"/></Relationships>
</file>

<file path=xl/externalLinks/_rels/externalLink73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8-SANTA%20CRUZ%20DE%20TENERIFE-1-4.xls" TargetMode="External"/></Relationships>
</file>

<file path=xl/externalLinks/_rels/externalLink73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8-CANTABRIA-1-4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1-LEON-1-4.xlsx" TargetMode="External"/></Relationships>
</file>

<file path=xl/externalLinks/_rels/externalLink74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8-SEGOVIA-1-4.xls" TargetMode="External"/></Relationships>
</file>

<file path=xl/externalLinks/_rels/externalLink74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8-SEVILLA-1-4.xls" TargetMode="External"/></Relationships>
</file>

<file path=xl/externalLinks/_rels/externalLink74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8-SORIA-1-4.xls" TargetMode="External"/></Relationships>
</file>

<file path=xl/externalLinks/_rels/externalLink74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8-TARRAGONA-1-4.xls" TargetMode="External"/></Relationships>
</file>

<file path=xl/externalLinks/_rels/externalLink74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8-TERUEL-1-4.xls" TargetMode="External"/></Relationships>
</file>

<file path=xl/externalLinks/_rels/externalLink74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8-TOLEDO-1-4.xls" TargetMode="External"/></Relationships>
</file>

<file path=xl/externalLinks/_rels/externalLink74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8-VALENCIA-1-4.xls" TargetMode="External"/></Relationships>
</file>

<file path=xl/externalLinks/_rels/externalLink74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8-VALLADOLID-1-4.xls" TargetMode="External"/></Relationships>
</file>

<file path=xl/externalLinks/_rels/externalLink74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8-BIZKAIA-1-4.xls" TargetMode="External"/></Relationships>
</file>

<file path=xl/externalLinks/_rels/externalLink74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8-ZAMORA-1-4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1-LLEIDA-1-4.xlsx" TargetMode="External"/></Relationships>
</file>

<file path=xl/externalLinks/_rels/externalLink75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8-ZARAGOZA-1-4.xls" TargetMode="External"/></Relationships>
</file>

<file path=xl/externalLinks/_rels/externalLink75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7-ARABA-ALAVA-1-4.xls" TargetMode="External"/></Relationships>
</file>

<file path=xl/externalLinks/_rels/externalLink75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7-ALBACETE-1-4.XLS" TargetMode="External"/></Relationships>
</file>

<file path=xl/externalLinks/_rels/externalLink75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7-ALICANTE-ALACANT-1-4.xls" TargetMode="External"/></Relationships>
</file>

<file path=xl/externalLinks/_rels/externalLink75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7-ALMERIA-1-4.xls" TargetMode="External"/></Relationships>
</file>

<file path=xl/externalLinks/_rels/externalLink75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7-AVILA-1-4.xls" TargetMode="External"/></Relationships>
</file>

<file path=xl/externalLinks/_rels/externalLink75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7-BADAJOZ-1-4.xls" TargetMode="External"/></Relationships>
</file>

<file path=xl/externalLinks/_rels/externalLink75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7-ILLES%20BALEARS-1-4.xls" TargetMode="External"/></Relationships>
</file>

<file path=xl/externalLinks/_rels/externalLink75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7-BARCELONA-1-4.xls" TargetMode="External"/></Relationships>
</file>

<file path=xl/externalLinks/_rels/externalLink75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7-BURGOS-1-4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1-LA%20RIOJA-1-4.xlsx" TargetMode="External"/></Relationships>
</file>

<file path=xl/externalLinks/_rels/externalLink76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7-CACERES-1-4.xls" TargetMode="External"/></Relationships>
</file>

<file path=xl/externalLinks/_rels/externalLink76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7-CADIZ-1-4.xls" TargetMode="External"/></Relationships>
</file>

<file path=xl/externalLinks/_rels/externalLink76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7-CASTELLON-CASTELLO-1-4.xls" TargetMode="External"/></Relationships>
</file>

<file path=xl/externalLinks/_rels/externalLink76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7-CIUDAD%20REAL-1-4.xls" TargetMode="External"/></Relationships>
</file>

<file path=xl/externalLinks/_rels/externalLink76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7-CORDOBA-1-4.xls" TargetMode="External"/></Relationships>
</file>

<file path=xl/externalLinks/_rels/externalLink76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7-A%20CORU&#209;A-1-4.xls" TargetMode="External"/></Relationships>
</file>

<file path=xl/externalLinks/_rels/externalLink76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7-CUENCA-1-4.xls" TargetMode="External"/></Relationships>
</file>

<file path=xl/externalLinks/_rels/externalLink76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7-GIRONA-1-4.xls" TargetMode="External"/></Relationships>
</file>

<file path=xl/externalLinks/_rels/externalLink76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7-GRANADA-1-4.xls" TargetMode="External"/></Relationships>
</file>

<file path=xl/externalLinks/_rels/externalLink76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7-GUADALAJARA-1-4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1-LUGO-1-4.xlsx" TargetMode="External"/></Relationships>
</file>

<file path=xl/externalLinks/_rels/externalLink77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7-GIPUZKOA-1-4.xls" TargetMode="External"/></Relationships>
</file>

<file path=xl/externalLinks/_rels/externalLink77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7-HUELVA-1-4.xls" TargetMode="External"/></Relationships>
</file>

<file path=xl/externalLinks/_rels/externalLink77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7-HUESCA-1-4.xls" TargetMode="External"/></Relationships>
</file>

<file path=xl/externalLinks/_rels/externalLink77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7-JAEN-1-4.xls" TargetMode="External"/></Relationships>
</file>

<file path=xl/externalLinks/_rels/externalLink77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7-LEON-1-4.xls" TargetMode="External"/></Relationships>
</file>

<file path=xl/externalLinks/_rels/externalLink77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7-LLEIDA-1-4.xls" TargetMode="External"/></Relationships>
</file>

<file path=xl/externalLinks/_rels/externalLink77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7-LA%20RIOJA-1-4.xls" TargetMode="External"/></Relationships>
</file>

<file path=xl/externalLinks/_rels/externalLink77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7-LUGO-1-4.xls" TargetMode="External"/></Relationships>
</file>

<file path=xl/externalLinks/_rels/externalLink77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7-MADRID-1-4.xls" TargetMode="External"/></Relationships>
</file>

<file path=xl/externalLinks/_rels/externalLink77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7-MALAGA-1-4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1-MADRID-1-4.xlsx" TargetMode="External"/></Relationships>
</file>

<file path=xl/externalLinks/_rels/externalLink78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7-MURCIA-1-4.xls" TargetMode="External"/></Relationships>
</file>

<file path=xl/externalLinks/_rels/externalLink78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7-NAVARRA-1-4.xls" TargetMode="External"/></Relationships>
</file>

<file path=xl/externalLinks/_rels/externalLink78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7-OURENSE-1-4.xls" TargetMode="External"/></Relationships>
</file>

<file path=xl/externalLinks/_rels/externalLink78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7-ASTURIAS-1-4.xls" TargetMode="External"/></Relationships>
</file>

<file path=xl/externalLinks/_rels/externalLink78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7-PALENCIA-1-4.xls" TargetMode="External"/></Relationships>
</file>

<file path=xl/externalLinks/_rels/externalLink78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7-LAS%20PALMAS-1-4.xls" TargetMode="External"/></Relationships>
</file>

<file path=xl/externalLinks/_rels/externalLink78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7-PONTEVEDRA-1-4.xls" TargetMode="External"/></Relationships>
</file>

<file path=xl/externalLinks/_rels/externalLink78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7-SALAMANCA-1-4.xls" TargetMode="External"/></Relationships>
</file>

<file path=xl/externalLinks/_rels/externalLink78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7-SANTA%20CRUZ%20DE%20TENERIFE-1-4.xls" TargetMode="External"/></Relationships>
</file>

<file path=xl/externalLinks/_rels/externalLink78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7-CANTABRIA-1-4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1-MALAGA-1-4.xlsx" TargetMode="External"/></Relationships>
</file>

<file path=xl/externalLinks/_rels/externalLink79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7-SEGOVIA-1-4.xls" TargetMode="External"/></Relationships>
</file>

<file path=xl/externalLinks/_rels/externalLink79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7-SEVILLA-1-4.xls" TargetMode="External"/></Relationships>
</file>

<file path=xl/externalLinks/_rels/externalLink79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7-SORIA-1-4.xls" TargetMode="External"/></Relationships>
</file>

<file path=xl/externalLinks/_rels/externalLink79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7-TARRAGONA-1-4.xls" TargetMode="External"/></Relationships>
</file>

<file path=xl/externalLinks/_rels/externalLink79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7-TERUEL-1-4.xls" TargetMode="External"/></Relationships>
</file>

<file path=xl/externalLinks/_rels/externalLink79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7-TOLEDO-1-4.xls" TargetMode="External"/></Relationships>
</file>

<file path=xl/externalLinks/_rels/externalLink79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7-VALENCIA-1-4.xls" TargetMode="External"/></Relationships>
</file>

<file path=xl/externalLinks/_rels/externalLink79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7-VALLADOLID-1-4.xls" TargetMode="External"/></Relationships>
</file>

<file path=xl/externalLinks/_rels/externalLink79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7-BIZKAIA-1-4.xls" TargetMode="External"/></Relationships>
</file>

<file path=xl/externalLinks/_rels/externalLink79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7-ZAMORA-1-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2-BARCELONA-1-4.xlsx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1-MURCIA-1-4.xlsx" TargetMode="External"/></Relationships>
</file>

<file path=xl/externalLinks/_rels/externalLink80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7-ZARAGOZA-1-4.xls" TargetMode="External"/></Relationships>
</file>

<file path=xl/externalLinks/_rels/externalLink80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6-ARABA-ALAVA-1-4.xls" TargetMode="External"/></Relationships>
</file>

<file path=xl/externalLinks/_rels/externalLink80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6-ALBACETE-1-4.XLS" TargetMode="External"/></Relationships>
</file>

<file path=xl/externalLinks/_rels/externalLink80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6-ALICANTE-ALACANT-1-4.xls" TargetMode="External"/></Relationships>
</file>

<file path=xl/externalLinks/_rels/externalLink80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6-ALMERIA-1-4.xls" TargetMode="External"/></Relationships>
</file>

<file path=xl/externalLinks/_rels/externalLink80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6-AVILA-1-4.xls" TargetMode="External"/></Relationships>
</file>

<file path=xl/externalLinks/_rels/externalLink80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6-BADAJOZ-1-4.xls" TargetMode="External"/></Relationships>
</file>

<file path=xl/externalLinks/_rels/externalLink80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6-ILLES%20BALEARS-1-4.xls" TargetMode="External"/></Relationships>
</file>

<file path=xl/externalLinks/_rels/externalLink80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6-BARCELONA-1-4.xls" TargetMode="External"/></Relationships>
</file>

<file path=xl/externalLinks/_rels/externalLink80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6-BURGOS-1-4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1-NAVARRA-1-4.xlsx" TargetMode="External"/></Relationships>
</file>

<file path=xl/externalLinks/_rels/externalLink81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6-CACERES-1-4.xls" TargetMode="External"/></Relationships>
</file>

<file path=xl/externalLinks/_rels/externalLink81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6-CADIZ-1-4.xls" TargetMode="External"/></Relationships>
</file>

<file path=xl/externalLinks/_rels/externalLink81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6-CASTELLON-CASTELLO-1-4.xls" TargetMode="External"/></Relationships>
</file>

<file path=xl/externalLinks/_rels/externalLink81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6-CIUDAD%20REAL-1-4.xls" TargetMode="External"/></Relationships>
</file>

<file path=xl/externalLinks/_rels/externalLink81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6-CORDOBA-1-4.xls" TargetMode="External"/></Relationships>
</file>

<file path=xl/externalLinks/_rels/externalLink81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6-A%20CORU&#209;A-1-4.xls" TargetMode="External"/></Relationships>
</file>

<file path=xl/externalLinks/_rels/externalLink81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6-CUENCA-1-4.xls" TargetMode="External"/></Relationships>
</file>

<file path=xl/externalLinks/_rels/externalLink81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6-GIRONA-1-4.xls" TargetMode="External"/></Relationships>
</file>

<file path=xl/externalLinks/_rels/externalLink81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6-GRANADA-1-4.xls" TargetMode="External"/></Relationships>
</file>

<file path=xl/externalLinks/_rels/externalLink81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6-GUADALAJARA-1-4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1-OURENSE-1-4.xlsx" TargetMode="External"/></Relationships>
</file>

<file path=xl/externalLinks/_rels/externalLink82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6-GIPUZKOA-1-4.xls" TargetMode="External"/></Relationships>
</file>

<file path=xl/externalLinks/_rels/externalLink82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6-HUELVA-1-4.xls" TargetMode="External"/></Relationships>
</file>

<file path=xl/externalLinks/_rels/externalLink82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6-HUESCA-1-4.xls" TargetMode="External"/></Relationships>
</file>

<file path=xl/externalLinks/_rels/externalLink82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6-JAEN-1-4.xls" TargetMode="External"/></Relationships>
</file>

<file path=xl/externalLinks/_rels/externalLink82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6-LEON-1-4.xls" TargetMode="External"/></Relationships>
</file>

<file path=xl/externalLinks/_rels/externalLink82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6-LLEIDA-1-4.xls" TargetMode="External"/></Relationships>
</file>

<file path=xl/externalLinks/_rels/externalLink82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6-LA%20RIOJA-1-4.xls" TargetMode="External"/></Relationships>
</file>

<file path=xl/externalLinks/_rels/externalLink82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6-LUGO-1-4.xls" TargetMode="External"/></Relationships>
</file>

<file path=xl/externalLinks/_rels/externalLink82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6-MADRID-1-4.xls" TargetMode="External"/></Relationships>
</file>

<file path=xl/externalLinks/_rels/externalLink82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6-MALAGA-1-4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1-ASTURIAS-1-4.xlsx" TargetMode="External"/></Relationships>
</file>

<file path=xl/externalLinks/_rels/externalLink83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6-MURCIA-1-4.xls" TargetMode="External"/></Relationships>
</file>

<file path=xl/externalLinks/_rels/externalLink83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6-NAVARRA-1-4.xls" TargetMode="External"/></Relationships>
</file>

<file path=xl/externalLinks/_rels/externalLink83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6-OURENSE-1-4.xls" TargetMode="External"/></Relationships>
</file>

<file path=xl/externalLinks/_rels/externalLink83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6-ASTURIAS-1-4.xls" TargetMode="External"/></Relationships>
</file>

<file path=xl/externalLinks/_rels/externalLink83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6-PALENCIA-1-4.xls" TargetMode="External"/></Relationships>
</file>

<file path=xl/externalLinks/_rels/externalLink83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6-LAS%20PALMAS-1-4.xls" TargetMode="External"/></Relationships>
</file>

<file path=xl/externalLinks/_rels/externalLink83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6-PONTEVEDRA-1-4.xls" TargetMode="External"/></Relationships>
</file>

<file path=xl/externalLinks/_rels/externalLink83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6-SALAMANCA-1-4.xls" TargetMode="External"/></Relationships>
</file>

<file path=xl/externalLinks/_rels/externalLink83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6-SANTA%20CRUZ%20DE%20TENERIFE-1-4.xls" TargetMode="External"/></Relationships>
</file>

<file path=xl/externalLinks/_rels/externalLink83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6-CANTABRIA-1-4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1-PALENCIA-1-4.xlsx" TargetMode="External"/></Relationships>
</file>

<file path=xl/externalLinks/_rels/externalLink84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6-SEGOVIA-1-4.xls" TargetMode="External"/></Relationships>
</file>

<file path=xl/externalLinks/_rels/externalLink84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6-SEVILLA-1-4.xls" TargetMode="External"/></Relationships>
</file>

<file path=xl/externalLinks/_rels/externalLink84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6-SORIA-1-4.xls" TargetMode="External"/></Relationships>
</file>

<file path=xl/externalLinks/_rels/externalLink84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6-TARRAGONA-1-4.xls" TargetMode="External"/></Relationships>
</file>

<file path=xl/externalLinks/_rels/externalLink84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6-TERUEL-1-4.xls" TargetMode="External"/></Relationships>
</file>

<file path=xl/externalLinks/_rels/externalLink84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6-TOLEDO-1-4.xls" TargetMode="External"/></Relationships>
</file>

<file path=xl/externalLinks/_rels/externalLink84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6-VALENCIA-1-4.xls" TargetMode="External"/></Relationships>
</file>

<file path=xl/externalLinks/_rels/externalLink84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6-VALLADOLID-1-4.xls" TargetMode="External"/></Relationships>
</file>

<file path=xl/externalLinks/_rels/externalLink84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6-BIZKAIA-1-4.xls" TargetMode="External"/></Relationships>
</file>

<file path=xl/externalLinks/_rels/externalLink84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6-ZAMORA-1-4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1-LAS%20PALMAS-1-4.xlsx" TargetMode="External"/></Relationships>
</file>

<file path=xl/externalLinks/_rels/externalLink85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6-ZARAGOZA-1-4.xls" TargetMode="External"/></Relationships>
</file>

<file path=xl/externalLinks/_rels/externalLink85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5-ARABA-ALAVA-1-4.xls" TargetMode="External"/></Relationships>
</file>

<file path=xl/externalLinks/_rels/externalLink85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5-ALBACETE-1-4.XLS" TargetMode="External"/></Relationships>
</file>

<file path=xl/externalLinks/_rels/externalLink85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5-ALICANTE-ALACANT-1-4.xls" TargetMode="External"/></Relationships>
</file>

<file path=xl/externalLinks/_rels/externalLink85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5-ALMERIA-1-4.xls" TargetMode="External"/></Relationships>
</file>

<file path=xl/externalLinks/_rels/externalLink85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5-AVILA-1-4.xls" TargetMode="External"/></Relationships>
</file>

<file path=xl/externalLinks/_rels/externalLink85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5-BADAJOZ-1-4.xls" TargetMode="External"/></Relationships>
</file>

<file path=xl/externalLinks/_rels/externalLink85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5-ILLES%20BALEARS-1-4.xls" TargetMode="External"/></Relationships>
</file>

<file path=xl/externalLinks/_rels/externalLink85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5-BARCELONA-1-4.xls" TargetMode="External"/></Relationships>
</file>

<file path=xl/externalLinks/_rels/externalLink85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5-BURGOS-1-4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1-PONTEVEDRA-1-4.xlsx" TargetMode="External"/></Relationships>
</file>

<file path=xl/externalLinks/_rels/externalLink86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5-CACERES-1-4.xls" TargetMode="External"/></Relationships>
</file>

<file path=xl/externalLinks/_rels/externalLink86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5-CADIZ-1-4.xls" TargetMode="External"/></Relationships>
</file>

<file path=xl/externalLinks/_rels/externalLink86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5-CASTELLON-CASTELLO-1-4.xls" TargetMode="External"/></Relationships>
</file>

<file path=xl/externalLinks/_rels/externalLink86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5-CIUDAD%20REAL-1-4.xls" TargetMode="External"/></Relationships>
</file>

<file path=xl/externalLinks/_rels/externalLink86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5-CORDOBA-1-4.xls" TargetMode="External"/></Relationships>
</file>

<file path=xl/externalLinks/_rels/externalLink86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5-A%20CORU&#209;A-1-4.xls" TargetMode="External"/></Relationships>
</file>

<file path=xl/externalLinks/_rels/externalLink86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5-CUENCA-1-4.xls" TargetMode="External"/></Relationships>
</file>

<file path=xl/externalLinks/_rels/externalLink86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5-GIRONA-1-4.xls" TargetMode="External"/></Relationships>
</file>

<file path=xl/externalLinks/_rels/externalLink86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5-GRANADA-1-4.xls" TargetMode="External"/></Relationships>
</file>

<file path=xl/externalLinks/_rels/externalLink86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5-GUADALAJARA-1-4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1-SALAMANCA-1-4.xlsx" TargetMode="External"/></Relationships>
</file>

<file path=xl/externalLinks/_rels/externalLink87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5-GIPUZKOA-1-4.xls" TargetMode="External"/></Relationships>
</file>

<file path=xl/externalLinks/_rels/externalLink87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5-HUELVA-1-4.xls" TargetMode="External"/></Relationships>
</file>

<file path=xl/externalLinks/_rels/externalLink87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5-HUESCA-1-4.xls" TargetMode="External"/></Relationships>
</file>

<file path=xl/externalLinks/_rels/externalLink87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5-JAEN-1-4.xls" TargetMode="External"/></Relationships>
</file>

<file path=xl/externalLinks/_rels/externalLink87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5-LEON-1-4.xls" TargetMode="External"/></Relationships>
</file>

<file path=xl/externalLinks/_rels/externalLink87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5-LLEIDA-1-4.xls" TargetMode="External"/></Relationships>
</file>

<file path=xl/externalLinks/_rels/externalLink87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5-LA%20RIOJA-1-4.xls" TargetMode="External"/></Relationships>
</file>

<file path=xl/externalLinks/_rels/externalLink87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5-LUGO-1-4.xls" TargetMode="External"/></Relationships>
</file>

<file path=xl/externalLinks/_rels/externalLink87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5-MADRID-1-4.xls" TargetMode="External"/></Relationships>
</file>

<file path=xl/externalLinks/_rels/externalLink87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5-MALAGA-1-4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1-SANTA%20CRUZ%20DE%20TENERIFE-1-4.xlsx" TargetMode="External"/></Relationships>
</file>

<file path=xl/externalLinks/_rels/externalLink88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5-MURCIA-1-4.xls" TargetMode="External"/></Relationships>
</file>

<file path=xl/externalLinks/_rels/externalLink88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5-NAVARRA-1-4.xls" TargetMode="External"/></Relationships>
</file>

<file path=xl/externalLinks/_rels/externalLink88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5-OURENSE-1-4.xls" TargetMode="External"/></Relationships>
</file>

<file path=xl/externalLinks/_rels/externalLink88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5-ASTURIAS-1-4.xls" TargetMode="External"/></Relationships>
</file>

<file path=xl/externalLinks/_rels/externalLink88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5-PALENCIA-1-4.xls" TargetMode="External"/></Relationships>
</file>

<file path=xl/externalLinks/_rels/externalLink88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5-LAS%20PALMAS-1-4.xls" TargetMode="External"/></Relationships>
</file>

<file path=xl/externalLinks/_rels/externalLink88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5-PONTEVEDRA-1-4.xls" TargetMode="External"/></Relationships>
</file>

<file path=xl/externalLinks/_rels/externalLink88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5-SALAMANCA-1-4.xls" TargetMode="External"/></Relationships>
</file>

<file path=xl/externalLinks/_rels/externalLink88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5-SANTA%20CRUZ%20DE%20TENERIFE-1-4.xls" TargetMode="External"/></Relationships>
</file>

<file path=xl/externalLinks/_rels/externalLink88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5-CANTABRIA-1-4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1-CANTABRIA-1-4.xlsx" TargetMode="External"/></Relationships>
</file>

<file path=xl/externalLinks/_rels/externalLink89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5-SEGOVIA-1-4.xls" TargetMode="External"/></Relationships>
</file>

<file path=xl/externalLinks/_rels/externalLink89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5-SEVILLA-1-4.xls" TargetMode="External"/></Relationships>
</file>

<file path=xl/externalLinks/_rels/externalLink89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5-SORIA-1-4.xls" TargetMode="External"/></Relationships>
</file>

<file path=xl/externalLinks/_rels/externalLink89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5-TARRAGONA-1-4.xls" TargetMode="External"/></Relationships>
</file>

<file path=xl/externalLinks/_rels/externalLink89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5-TERUEL-1-4.xls" TargetMode="External"/></Relationships>
</file>

<file path=xl/externalLinks/_rels/externalLink89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5-TOLEDO-1-4.xls" TargetMode="External"/></Relationships>
</file>

<file path=xl/externalLinks/_rels/externalLink89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5-VALENCIA-1-4.xls" TargetMode="External"/></Relationships>
</file>

<file path=xl/externalLinks/_rels/externalLink89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5-VALLADOLID-1-4.xls" TargetMode="External"/></Relationships>
</file>

<file path=xl/externalLinks/_rels/externalLink89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5-BIZKAIA-1-4.xls" TargetMode="External"/></Relationships>
</file>

<file path=xl/externalLinks/_rels/externalLink89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5-ZAMORA-1-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2-BURGOS-1-4.xlsx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1-SEGOVIA-1-4.xlsx" TargetMode="External"/></Relationships>
</file>

<file path=xl/externalLinks/_rels/externalLink90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5-ZARAGOZA-1-4.xls" TargetMode="External"/></Relationships>
</file>

<file path=xl/externalLinks/_rels/externalLink90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4-ARABA-ALAVA-1-4.xls" TargetMode="External"/></Relationships>
</file>

<file path=xl/externalLinks/_rels/externalLink90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4-ALBACETE-1-4.XLS" TargetMode="External"/></Relationships>
</file>

<file path=xl/externalLinks/_rels/externalLink90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4-ALICANTE-ALACANT-1-4.xls" TargetMode="External"/></Relationships>
</file>

<file path=xl/externalLinks/_rels/externalLink90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4-ALMERIA-1-4.xls" TargetMode="External"/></Relationships>
</file>

<file path=xl/externalLinks/_rels/externalLink90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4-AVILA-1-4.xls" TargetMode="External"/></Relationships>
</file>

<file path=xl/externalLinks/_rels/externalLink90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4-BADAJOZ-1-4.xls" TargetMode="External"/></Relationships>
</file>

<file path=xl/externalLinks/_rels/externalLink90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4-ILLES%20BALEARS-1-4.xls" TargetMode="External"/></Relationships>
</file>

<file path=xl/externalLinks/_rels/externalLink90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4-BARCELONA-1-4.xls" TargetMode="External"/></Relationships>
</file>

<file path=xl/externalLinks/_rels/externalLink90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4-BURGOS-1-4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1-SEVILLA-1-4.xlsx" TargetMode="External"/></Relationships>
</file>

<file path=xl/externalLinks/_rels/externalLink91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4-CACERES-1-4.xls" TargetMode="External"/></Relationships>
</file>

<file path=xl/externalLinks/_rels/externalLink91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4-CADIZ-1-4.xls" TargetMode="External"/></Relationships>
</file>

<file path=xl/externalLinks/_rels/externalLink91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4-CASTELLON-CASTELLO-1-4.xls" TargetMode="External"/></Relationships>
</file>

<file path=xl/externalLinks/_rels/externalLink91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4-CIUDAD%20REAL-1-4.xls" TargetMode="External"/></Relationships>
</file>

<file path=xl/externalLinks/_rels/externalLink91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4-CORDOBA-1-4.xls" TargetMode="External"/></Relationships>
</file>

<file path=xl/externalLinks/_rels/externalLink91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4-A%20CORU&#209;A-1-4.xls" TargetMode="External"/></Relationships>
</file>

<file path=xl/externalLinks/_rels/externalLink91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4-CUENCA-1-4.xls" TargetMode="External"/></Relationships>
</file>

<file path=xl/externalLinks/_rels/externalLink91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4-GIRONA-1-4.xls" TargetMode="External"/></Relationships>
</file>

<file path=xl/externalLinks/_rels/externalLink91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4-GRANADA-1-4.xls" TargetMode="External"/></Relationships>
</file>

<file path=xl/externalLinks/_rels/externalLink91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4-GUADALAJARA-1-4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1-SORIA-1-4.xlsx" TargetMode="External"/></Relationships>
</file>

<file path=xl/externalLinks/_rels/externalLink92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4-GIPUZKOA-1-4.xls" TargetMode="External"/></Relationships>
</file>

<file path=xl/externalLinks/_rels/externalLink92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4-HUELVA-1-4.xls" TargetMode="External"/></Relationships>
</file>

<file path=xl/externalLinks/_rels/externalLink92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4-HUESCA-1-4.xls" TargetMode="External"/></Relationships>
</file>

<file path=xl/externalLinks/_rels/externalLink92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4-JAEN-1-4.xls" TargetMode="External"/></Relationships>
</file>

<file path=xl/externalLinks/_rels/externalLink92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4-LEON-1-4.xls" TargetMode="External"/></Relationships>
</file>

<file path=xl/externalLinks/_rels/externalLink92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4-LLEIDA-1-4.xls" TargetMode="External"/></Relationships>
</file>

<file path=xl/externalLinks/_rels/externalLink92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4-LA%20RIOJA-1-4.xls" TargetMode="External"/></Relationships>
</file>

<file path=xl/externalLinks/_rels/externalLink92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4-LUGO-1-4.xls" TargetMode="External"/></Relationships>
</file>

<file path=xl/externalLinks/_rels/externalLink92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4-MADRID-1-4.xls" TargetMode="External"/></Relationships>
</file>

<file path=xl/externalLinks/_rels/externalLink92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4-MALAGA-1-4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1-TARRAGONA-1-4.xlsx" TargetMode="External"/></Relationships>
</file>

<file path=xl/externalLinks/_rels/externalLink93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4-MURCIA-1-4.xls" TargetMode="External"/></Relationships>
</file>

<file path=xl/externalLinks/_rels/externalLink93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4-NAVARRA-1-4.xls" TargetMode="External"/></Relationships>
</file>

<file path=xl/externalLinks/_rels/externalLink93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4-OURENSE-1-4.xls" TargetMode="External"/></Relationships>
</file>

<file path=xl/externalLinks/_rels/externalLink93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4-ASTURIAS-1-4.xls" TargetMode="External"/></Relationships>
</file>

<file path=xl/externalLinks/_rels/externalLink93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4-PALENCIA-1-4.xls" TargetMode="External"/></Relationships>
</file>

<file path=xl/externalLinks/_rels/externalLink93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4-LAS%20PALMAS-1-4.xls" TargetMode="External"/></Relationships>
</file>

<file path=xl/externalLinks/_rels/externalLink93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4-PONTEVEDRA-1-4.xls" TargetMode="External"/></Relationships>
</file>

<file path=xl/externalLinks/_rels/externalLink93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4-SALAMANCA-1-4.xls" TargetMode="External"/></Relationships>
</file>

<file path=xl/externalLinks/_rels/externalLink93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4-SANTA%20CRUZ%20DE%20TENERIFE-1-4.xls" TargetMode="External"/></Relationships>
</file>

<file path=xl/externalLinks/_rels/externalLink93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4-CANTABRIA-1-4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1-TERUEL-1-4.xlsx" TargetMode="External"/></Relationships>
</file>

<file path=xl/externalLinks/_rels/externalLink94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4-SEGOVIA-1-4.xls" TargetMode="External"/></Relationships>
</file>

<file path=xl/externalLinks/_rels/externalLink94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4-SEVILLA-1-4.xls" TargetMode="External"/></Relationships>
</file>

<file path=xl/externalLinks/_rels/externalLink94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4-SORIA-1-4.xls" TargetMode="External"/></Relationships>
</file>

<file path=xl/externalLinks/_rels/externalLink94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4-TARRAGONA-1-4.xls" TargetMode="External"/></Relationships>
</file>

<file path=xl/externalLinks/_rels/externalLink94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4-TERUEL-1-4.xls" TargetMode="External"/></Relationships>
</file>

<file path=xl/externalLinks/_rels/externalLink94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4-TOLEDO-1-4.xls" TargetMode="External"/></Relationships>
</file>

<file path=xl/externalLinks/_rels/externalLink94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4-VALENCIA-1-4.xls" TargetMode="External"/></Relationships>
</file>

<file path=xl/externalLinks/_rels/externalLink94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4-VALLADOLID-1-4.xls" TargetMode="External"/></Relationships>
</file>

<file path=xl/externalLinks/_rels/externalLink94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4-BIZKAIA-1-4.xls" TargetMode="External"/></Relationships>
</file>

<file path=xl/externalLinks/_rels/externalLink94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4-ZAMORA-1-4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1-TOLEDO-1-4.xlsx" TargetMode="External"/></Relationships>
</file>

<file path=xl/externalLinks/_rels/externalLink95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4-ZARAGOZA-1-4.xls" TargetMode="External"/></Relationships>
</file>

<file path=xl/externalLinks/_rels/externalLink95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3-ARABA-ALAVA-1-4.xls" TargetMode="External"/></Relationships>
</file>

<file path=xl/externalLinks/_rels/externalLink95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3-ALBACETE-1-4.XLS" TargetMode="External"/></Relationships>
</file>

<file path=xl/externalLinks/_rels/externalLink95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3-ALICANTE-ALACANT-1-4.xls" TargetMode="External"/></Relationships>
</file>

<file path=xl/externalLinks/_rels/externalLink95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3-ALMERIA-1-4.xls" TargetMode="External"/></Relationships>
</file>

<file path=xl/externalLinks/_rels/externalLink95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3-AVILA-1-4.xls" TargetMode="External"/></Relationships>
</file>

<file path=xl/externalLinks/_rels/externalLink95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3-BADAJOZ-1-4.xls" TargetMode="External"/></Relationships>
</file>

<file path=xl/externalLinks/_rels/externalLink95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3-ILLES%20BALEARS-1-4.xls" TargetMode="External"/></Relationships>
</file>

<file path=xl/externalLinks/_rels/externalLink95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3-BARCELONA-1-4.xls" TargetMode="External"/></Relationships>
</file>

<file path=xl/externalLinks/_rels/externalLink95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3-BURGOS-1-4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1-VALENCIA-1-4.xlsx" TargetMode="External"/></Relationships>
</file>

<file path=xl/externalLinks/_rels/externalLink96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3-CACERES-1-4.xls" TargetMode="External"/></Relationships>
</file>

<file path=xl/externalLinks/_rels/externalLink96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3-CADIZ-1-4.xls" TargetMode="External"/></Relationships>
</file>

<file path=xl/externalLinks/_rels/externalLink96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3-CASTELLON-CASTELLO-1-4.xls" TargetMode="External"/></Relationships>
</file>

<file path=xl/externalLinks/_rels/externalLink96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3-CIUDAD%20REAL-1-4.xls" TargetMode="External"/></Relationships>
</file>

<file path=xl/externalLinks/_rels/externalLink96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3-CORDOBA-1-4.xls" TargetMode="External"/></Relationships>
</file>

<file path=xl/externalLinks/_rels/externalLink96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3-A%20CORU&#209;A-1-4.xls" TargetMode="External"/></Relationships>
</file>

<file path=xl/externalLinks/_rels/externalLink96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3-CUENCA-1-4.xls" TargetMode="External"/></Relationships>
</file>

<file path=xl/externalLinks/_rels/externalLink96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3-GIRONA-1-4.xls" TargetMode="External"/></Relationships>
</file>

<file path=xl/externalLinks/_rels/externalLink96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3-GRANADA-1-4.xls" TargetMode="External"/></Relationships>
</file>

<file path=xl/externalLinks/_rels/externalLink96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3-GUADALAJARA-1-4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1-VALLADOLID-1-4.xlsx" TargetMode="External"/></Relationships>
</file>

<file path=xl/externalLinks/_rels/externalLink97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3-GIPUZKOA-1-4.xls" TargetMode="External"/></Relationships>
</file>

<file path=xl/externalLinks/_rels/externalLink97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3-HUELVA-1-4.xls" TargetMode="External"/></Relationships>
</file>

<file path=xl/externalLinks/_rels/externalLink97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3-HUESCA-1-4.xls" TargetMode="External"/></Relationships>
</file>

<file path=xl/externalLinks/_rels/externalLink97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3-JAEN-1-4.xls" TargetMode="External"/></Relationships>
</file>

<file path=xl/externalLinks/_rels/externalLink97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3-LEON-1-4.xls" TargetMode="External"/></Relationships>
</file>

<file path=xl/externalLinks/_rels/externalLink97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3-LLEIDA-1-4.xls" TargetMode="External"/></Relationships>
</file>

<file path=xl/externalLinks/_rels/externalLink97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3-LA%20RIOJA-1-4.xls" TargetMode="External"/></Relationships>
</file>

<file path=xl/externalLinks/_rels/externalLink97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3-LUGO-1-4.xls" TargetMode="External"/></Relationships>
</file>

<file path=xl/externalLinks/_rels/externalLink97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3-MADRID-1-4.xls" TargetMode="External"/></Relationships>
</file>

<file path=xl/externalLinks/_rels/externalLink97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3-MALAGA-1-4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1-BIZKAIA-1-4.xlsx" TargetMode="External"/></Relationships>
</file>

<file path=xl/externalLinks/_rels/externalLink98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3-MURCIA-1-4.xls" TargetMode="External"/></Relationships>
</file>

<file path=xl/externalLinks/_rels/externalLink98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3-NAVARRA-1-4.xls" TargetMode="External"/></Relationships>
</file>

<file path=xl/externalLinks/_rels/externalLink98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3-OURENSE-1-4.xls" TargetMode="External"/></Relationships>
</file>

<file path=xl/externalLinks/_rels/externalLink98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3-ASTURIAS-1-4.xls" TargetMode="External"/></Relationships>
</file>

<file path=xl/externalLinks/_rels/externalLink98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3-PALENCIA-1-4.xls" TargetMode="External"/></Relationships>
</file>

<file path=xl/externalLinks/_rels/externalLink98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3-LAS%20PALMAS-1-4.xls" TargetMode="External"/></Relationships>
</file>

<file path=xl/externalLinks/_rels/externalLink98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3-PONTEVEDRA-1-4.xls" TargetMode="External"/></Relationships>
</file>

<file path=xl/externalLinks/_rels/externalLink98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3-SALAMANCA-1-4.xls" TargetMode="External"/></Relationships>
</file>

<file path=xl/externalLinks/_rels/externalLink98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3-SANTA%20CRUZ%20DE%20TENERIFE-1-4.xls" TargetMode="External"/></Relationships>
</file>

<file path=xl/externalLinks/_rels/externalLink98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3-CANTABRIA-1-4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21-ZAMORA-1-4.xlsx" TargetMode="External"/></Relationships>
</file>

<file path=xl/externalLinks/_rels/externalLink99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3-SEGOVIA-1-4.xls" TargetMode="External"/></Relationships>
</file>

<file path=xl/externalLinks/_rels/externalLink99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3-SEVILLA-1-4.xls" TargetMode="External"/></Relationships>
</file>

<file path=xl/externalLinks/_rels/externalLink99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3-SORIA-1-4.xls" TargetMode="External"/></Relationships>
</file>

<file path=xl/externalLinks/_rels/externalLink99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3-TARRAGONA-1-4.xls" TargetMode="External"/></Relationships>
</file>

<file path=xl/externalLinks/_rels/externalLink99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3-TERUEL-1-4.xls" TargetMode="External"/></Relationships>
</file>

<file path=xl/externalLinks/_rels/externalLink99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3-TOLEDO-1-4.xls" TargetMode="External"/></Relationships>
</file>

<file path=xl/externalLinks/_rels/externalLink99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3-VALENCIA-1-4.xls" TargetMode="External"/></Relationships>
</file>

<file path=xl/externalLinks/_rels/externalLink99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3-VALLADOLID-1-4.xls" TargetMode="External"/></Relationships>
</file>

<file path=xl/externalLinks/_rels/externalLink99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3-BIZKAIA-1-4.xls" TargetMode="External"/></Relationships>
</file>

<file path=xl/externalLinks/_rels/externalLink99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provincias/2003-ZAMORA-1-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0.9226756507091235</v>
          </cell>
        </row>
        <row r="28">
          <cell r="B28">
            <v>0.98264576038970919</v>
          </cell>
        </row>
        <row r="31">
          <cell r="B31">
            <v>1.8563447725458899</v>
          </cell>
        </row>
        <row r="35">
          <cell r="B35">
            <v>1.0302562519296079</v>
          </cell>
        </row>
        <row r="36">
          <cell r="B36">
            <v>0.98667887769544582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0.94466588511137162</v>
          </cell>
        </row>
        <row r="28">
          <cell r="B28">
            <v>0.96648698128559807</v>
          </cell>
        </row>
        <row r="31">
          <cell r="B31">
            <v>1.393939393939394</v>
          </cell>
        </row>
        <row r="35">
          <cell r="B35">
            <v>0.88194444444444442</v>
          </cell>
        </row>
        <row r="36">
          <cell r="B36">
            <v>0.95685207525860516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1.0355973357688624</v>
          </cell>
        </row>
        <row r="28">
          <cell r="B28">
            <v>1.0228785284304553</v>
          </cell>
        </row>
        <row r="31">
          <cell r="B31">
            <v>1.0360360360360361</v>
          </cell>
        </row>
        <row r="35">
          <cell r="B35">
            <v>1.1100407055630936</v>
          </cell>
        </row>
        <row r="36">
          <cell r="B36">
            <v>1.0340558671307234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0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0.96118109532743679</v>
          </cell>
        </row>
        <row r="28">
          <cell r="B28">
            <v>1.0354790366988464</v>
          </cell>
        </row>
        <row r="31">
          <cell r="B31">
            <v>0.68803945745992601</v>
          </cell>
        </row>
        <row r="35">
          <cell r="B35">
            <v>0.9662608695652174</v>
          </cell>
        </row>
        <row r="36">
          <cell r="B36">
            <v>1.0105616898703793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0.95955725840783312</v>
          </cell>
        </row>
        <row r="28">
          <cell r="B28">
            <v>0.9999247667770087</v>
          </cell>
        </row>
        <row r="31">
          <cell r="B31">
            <v>1.0811485642946317</v>
          </cell>
        </row>
        <row r="35">
          <cell r="B35">
            <v>0.89165103189493433</v>
          </cell>
        </row>
        <row r="36">
          <cell r="B36">
            <v>0.98761076468657694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1.0913632180886026</v>
          </cell>
        </row>
        <row r="28">
          <cell r="B28">
            <v>1.0175283771035575</v>
          </cell>
        </row>
        <row r="31">
          <cell r="B31">
            <v>0.96900114810562576</v>
          </cell>
        </row>
        <row r="35">
          <cell r="B35">
            <v>0.95228070175438595</v>
          </cell>
        </row>
        <row r="36">
          <cell r="B36">
            <v>1.0250741134671524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0.94459538379503849</v>
          </cell>
        </row>
        <row r="28">
          <cell r="B28">
            <v>0.98756106159037116</v>
          </cell>
        </row>
        <row r="31">
          <cell r="B31">
            <v>0.90151515151515149</v>
          </cell>
        </row>
        <row r="35">
          <cell r="B35">
            <v>0.91039236479321317</v>
          </cell>
        </row>
        <row r="36">
          <cell r="B36">
            <v>0.98054121108963443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1.0333449720670391</v>
          </cell>
        </row>
        <row r="28">
          <cell r="B28">
            <v>1.0158191959636169</v>
          </cell>
        </row>
        <row r="31">
          <cell r="B31">
            <v>1.283210332103321</v>
          </cell>
        </row>
        <row r="35">
          <cell r="B35">
            <v>0.88497321680293206</v>
          </cell>
        </row>
        <row r="36">
          <cell r="B36">
            <v>1.0160778919230056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1.0553059108192189</v>
          </cell>
        </row>
        <row r="28">
          <cell r="B28">
            <v>0.95807314897413021</v>
          </cell>
        </row>
        <row r="31">
          <cell r="B31">
            <v>1.1267605633802817</v>
          </cell>
        </row>
        <row r="35">
          <cell r="B35">
            <v>1.0047058823529411</v>
          </cell>
        </row>
        <row r="36">
          <cell r="B36">
            <v>0.97932164922456189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1.0400033129037602</v>
          </cell>
        </row>
        <row r="28">
          <cell r="B28">
            <v>0.99437705332322468</v>
          </cell>
        </row>
        <row r="31">
          <cell r="B31">
            <v>1.4727061556329848</v>
          </cell>
        </row>
        <row r="35">
          <cell r="B35">
            <v>0.70730003492839677</v>
          </cell>
        </row>
        <row r="36">
          <cell r="B36">
            <v>0.99615724939957018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0.92751625671473004</v>
          </cell>
        </row>
        <row r="28">
          <cell r="B28">
            <v>0.986587916054669</v>
          </cell>
        </row>
        <row r="31">
          <cell r="B31">
            <v>0.6708984375</v>
          </cell>
        </row>
        <row r="35">
          <cell r="B35">
            <v>1.0034858387799563</v>
          </cell>
        </row>
        <row r="36">
          <cell r="B36">
            <v>0.97673522247232591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0.99932843032874152</v>
          </cell>
        </row>
        <row r="28">
          <cell r="B28">
            <v>0.99660957274096484</v>
          </cell>
        </row>
        <row r="31">
          <cell r="B31">
            <v>1.1392740302227762</v>
          </cell>
        </row>
        <row r="35">
          <cell r="B35">
            <v>0.93350396219914356</v>
          </cell>
        </row>
        <row r="36">
          <cell r="B36">
            <v>0.99492747049436081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0.98306761957119293</v>
          </cell>
        </row>
        <row r="28">
          <cell r="B28">
            <v>0.99871222527472525</v>
          </cell>
        </row>
        <row r="31">
          <cell r="B31">
            <v>0.5553299492385787</v>
          </cell>
        </row>
        <row r="35">
          <cell r="B35">
            <v>0.86804901036757776</v>
          </cell>
        </row>
        <row r="36">
          <cell r="B36">
            <v>0.97807372373306778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1.009363580998782</v>
          </cell>
        </row>
        <row r="28">
          <cell r="B28">
            <v>0.96453834698436336</v>
          </cell>
        </row>
        <row r="31">
          <cell r="B31">
            <v>0.60865724381625441</v>
          </cell>
        </row>
        <row r="35">
          <cell r="B35">
            <v>0.69536423841059603</v>
          </cell>
        </row>
        <row r="36">
          <cell r="B36">
            <v>0.92802319631587926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0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0.98190541466758052</v>
          </cell>
        </row>
        <row r="28">
          <cell r="B28">
            <v>0.99424498946030049</v>
          </cell>
        </row>
        <row r="31">
          <cell r="B31">
            <v>1.4217687074829932</v>
          </cell>
        </row>
        <row r="35">
          <cell r="B35">
            <v>0.57213057213057217</v>
          </cell>
        </row>
        <row r="36">
          <cell r="B36">
            <v>0.9686107486644181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0.96120604601602277</v>
          </cell>
        </row>
        <row r="28">
          <cell r="B28">
            <v>1.0088259534950126</v>
          </cell>
        </row>
        <row r="31">
          <cell r="B31">
            <v>1.1726098191214471</v>
          </cell>
        </row>
        <row r="35">
          <cell r="B35">
            <v>0.75670322973796467</v>
          </cell>
        </row>
        <row r="36">
          <cell r="B36">
            <v>0.99528545354894671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0.87826240821020973</v>
          </cell>
        </row>
        <row r="28">
          <cell r="B28">
            <v>0.96636479349241411</v>
          </cell>
        </row>
        <row r="31">
          <cell r="B31">
            <v>1</v>
          </cell>
        </row>
        <row r="35">
          <cell r="B35">
            <v>1.0461885092001502</v>
          </cell>
        </row>
        <row r="36">
          <cell r="B36">
            <v>0.95724654253078323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0.95234182415776503</v>
          </cell>
        </row>
        <row r="28">
          <cell r="B28">
            <v>1.0055609338766689</v>
          </cell>
        </row>
        <row r="31">
          <cell r="B31">
            <v>1.1368421052631579</v>
          </cell>
        </row>
        <row r="35">
          <cell r="B35">
            <v>0.88028169014084512</v>
          </cell>
        </row>
        <row r="36">
          <cell r="B36">
            <v>0.99256803721328124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1.0220807369276619</v>
          </cell>
        </row>
        <row r="28">
          <cell r="B28">
            <v>1.0054028067123006</v>
          </cell>
        </row>
        <row r="31">
          <cell r="B31">
            <v>0.81073446327683618</v>
          </cell>
        </row>
        <row r="35">
          <cell r="B35">
            <v>0.65417929839757472</v>
          </cell>
        </row>
        <row r="36">
          <cell r="B36">
            <v>0.98896829187640078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0.96827597132559706</v>
          </cell>
        </row>
        <row r="28">
          <cell r="B28">
            <v>1.0085332633168138</v>
          </cell>
        </row>
        <row r="31">
          <cell r="B31">
            <v>0.89824711415134673</v>
          </cell>
        </row>
        <row r="35">
          <cell r="B35">
            <v>0.97454945659650571</v>
          </cell>
        </row>
        <row r="36">
          <cell r="B36">
            <v>0.99648355825888613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0.9057295136575616</v>
          </cell>
        </row>
        <row r="28">
          <cell r="B28">
            <v>0.97822905232345403</v>
          </cell>
        </row>
        <row r="31">
          <cell r="B31">
            <v>0.88268156424581001</v>
          </cell>
        </row>
        <row r="35">
          <cell r="B35">
            <v>0.5958408679927667</v>
          </cell>
        </row>
        <row r="36">
          <cell r="B36">
            <v>0.94588765337423308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1.0071284562211982</v>
          </cell>
        </row>
        <row r="28">
          <cell r="B28">
            <v>1.0166253570828432</v>
          </cell>
        </row>
        <row r="31">
          <cell r="B31">
            <v>1.0298507462686568</v>
          </cell>
        </row>
        <row r="35">
          <cell r="B35">
            <v>0.96650923142979817</v>
          </cell>
        </row>
        <row r="36">
          <cell r="B36">
            <v>1.0145141758085197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0.97666804998386125</v>
          </cell>
        </row>
        <row r="28">
          <cell r="B28">
            <v>1.0171235590064573</v>
          </cell>
        </row>
        <row r="31">
          <cell r="B31">
            <v>1.0935302390998594</v>
          </cell>
        </row>
        <row r="35">
          <cell r="B35">
            <v>0.89035087719298245</v>
          </cell>
        </row>
        <row r="36">
          <cell r="B36">
            <v>1.0040348011093803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0.96302765647743815</v>
          </cell>
        </row>
        <row r="28">
          <cell r="B28">
            <v>0.97454270068740534</v>
          </cell>
        </row>
        <row r="31">
          <cell r="B31">
            <v>0.8607242339832869</v>
          </cell>
        </row>
        <row r="35">
          <cell r="B35">
            <v>0.75630252100840334</v>
          </cell>
        </row>
        <row r="36">
          <cell r="B36">
            <v>0.95810319277919975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0.89837844428188252</v>
          </cell>
        </row>
        <row r="28">
          <cell r="B28">
            <v>0.97375432986943777</v>
          </cell>
        </row>
        <row r="31">
          <cell r="B31">
            <v>1.0854816824966078</v>
          </cell>
        </row>
        <row r="35">
          <cell r="B35">
            <v>0.83808095952023987</v>
          </cell>
        </row>
        <row r="36">
          <cell r="B36">
            <v>0.93021452571723962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0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0.97792511112785352</v>
          </cell>
        </row>
        <row r="28">
          <cell r="B28">
            <v>1.0001017998208324</v>
          </cell>
        </row>
        <row r="31">
          <cell r="B31">
            <v>0.86956521739130432</v>
          </cell>
        </row>
        <row r="35">
          <cell r="B35">
            <v>0.84214285714285719</v>
          </cell>
        </row>
        <row r="36">
          <cell r="B36">
            <v>0.9843309493426714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1.0193561743090778</v>
          </cell>
        </row>
        <row r="28">
          <cell r="B28">
            <v>0.99841714152420935</v>
          </cell>
        </row>
        <row r="31">
          <cell r="B31">
            <v>1.1942257217847769</v>
          </cell>
        </row>
        <row r="35">
          <cell r="B35">
            <v>0.88361879666227494</v>
          </cell>
        </row>
        <row r="36">
          <cell r="B36">
            <v>0.99965620616628625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1.0300913487372381</v>
          </cell>
        </row>
        <row r="28">
          <cell r="B28">
            <v>0.97112608277189605</v>
          </cell>
        </row>
        <row r="31">
          <cell r="B31">
            <v>1.0232558139534884</v>
          </cell>
        </row>
        <row r="35">
          <cell r="B35">
            <v>0.82741116751269039</v>
          </cell>
        </row>
        <row r="36">
          <cell r="B36">
            <v>0.9783721970864615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0.99662771547329621</v>
          </cell>
        </row>
        <row r="28">
          <cell r="B28">
            <v>1.0398418826990257</v>
          </cell>
        </row>
        <row r="31">
          <cell r="B31">
            <v>1.0478841870824054</v>
          </cell>
        </row>
        <row r="35">
          <cell r="B35">
            <v>0.94145283700758942</v>
          </cell>
        </row>
        <row r="36">
          <cell r="B36">
            <v>1.0283168093099455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1.0024338541257753</v>
          </cell>
        </row>
        <row r="28">
          <cell r="B28">
            <v>0.97181952286484563</v>
          </cell>
        </row>
        <row r="31">
          <cell r="B31">
            <v>0.7226027397260274</v>
          </cell>
        </row>
        <row r="35">
          <cell r="B35">
            <v>0.71374764595103579</v>
          </cell>
        </row>
        <row r="36">
          <cell r="B36">
            <v>0.95226026688734866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1.0102431029773287</v>
          </cell>
        </row>
        <row r="28">
          <cell r="B28">
            <v>1.0062803779149145</v>
          </cell>
        </row>
        <row r="31">
          <cell r="B31">
            <v>0.84323040380047509</v>
          </cell>
        </row>
        <row r="35">
          <cell r="B35">
            <v>0.87216494845360826</v>
          </cell>
        </row>
        <row r="36">
          <cell r="B36">
            <v>1.0025366714459027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0.97580254879819328</v>
          </cell>
        </row>
        <row r="28">
          <cell r="B28">
            <v>0.98695513840279991</v>
          </cell>
        </row>
        <row r="31">
          <cell r="B31">
            <v>0.8610526315789474</v>
          </cell>
        </row>
        <row r="35">
          <cell r="B35">
            <v>0.80155642023346307</v>
          </cell>
        </row>
        <row r="36">
          <cell r="B36">
            <v>0.97177922163155472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1.0213859020310634</v>
          </cell>
        </row>
        <row r="28">
          <cell r="B28">
            <v>0.99952042551336273</v>
          </cell>
        </row>
        <row r="31">
          <cell r="B31">
            <v>1.1024305555555556</v>
          </cell>
        </row>
        <row r="35">
          <cell r="B35">
            <v>1.0496402877697841</v>
          </cell>
        </row>
        <row r="36">
          <cell r="B36">
            <v>1.0105299598996047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0.9930637232727163</v>
          </cell>
        </row>
        <row r="28">
          <cell r="B28">
            <v>1.0034712188997719</v>
          </cell>
        </row>
        <row r="31">
          <cell r="B31">
            <v>1.0338414963779867</v>
          </cell>
        </row>
        <row r="35">
          <cell r="B35">
            <v>0.84733505732658998</v>
          </cell>
        </row>
        <row r="36">
          <cell r="B36">
            <v>0.99545661476827829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0.93531848259837347</v>
          </cell>
        </row>
        <row r="28">
          <cell r="B28">
            <v>1.0094288889685583</v>
          </cell>
        </row>
        <row r="31">
          <cell r="B31">
            <v>0.64243672748675695</v>
          </cell>
        </row>
        <row r="35">
          <cell r="B35">
            <v>0.76669316375198726</v>
          </cell>
        </row>
        <row r="36">
          <cell r="B36">
            <v>0.98792856340313118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0.92576832151300237</v>
          </cell>
        </row>
        <row r="28">
          <cell r="B28">
            <v>1.003416412766595</v>
          </cell>
        </row>
        <row r="31">
          <cell r="B31">
            <v>1.0306586826347306</v>
          </cell>
        </row>
        <row r="35">
          <cell r="B35">
            <v>0.83625680463146979</v>
          </cell>
        </row>
        <row r="36">
          <cell r="B36">
            <v>0.96011258274975708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0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0.92527970644314139</v>
          </cell>
        </row>
        <row r="28">
          <cell r="B28">
            <v>0.98883452080618783</v>
          </cell>
        </row>
        <row r="31">
          <cell r="B31">
            <v>0.88854101440200373</v>
          </cell>
        </row>
        <row r="35">
          <cell r="B35">
            <v>0.89731103112428545</v>
          </cell>
        </row>
        <row r="36">
          <cell r="B36">
            <v>0.97213366395087963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0.96251782440415568</v>
          </cell>
        </row>
        <row r="28">
          <cell r="B28">
            <v>0.98811193481600212</v>
          </cell>
        </row>
        <row r="31">
          <cell r="B31">
            <v>1.0569498069498069</v>
          </cell>
        </row>
        <row r="35">
          <cell r="B35">
            <v>0.96779808529155786</v>
          </cell>
        </row>
        <row r="36">
          <cell r="B36">
            <v>0.98420898555216885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1.0464369158878504</v>
          </cell>
        </row>
        <row r="28">
          <cell r="B28">
            <v>1.0034600699968184</v>
          </cell>
        </row>
        <row r="31">
          <cell r="B31">
            <v>0.92829204693611478</v>
          </cell>
        </row>
        <row r="35">
          <cell r="B35">
            <v>0.98962386511024647</v>
          </cell>
        </row>
        <row r="36">
          <cell r="B36">
            <v>1.0088720252211032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1.009513093289689</v>
          </cell>
        </row>
        <row r="28">
          <cell r="B28">
            <v>1.003716738097727</v>
          </cell>
        </row>
        <row r="31">
          <cell r="B31">
            <v>1.1382368283776734</v>
          </cell>
        </row>
        <row r="35">
          <cell r="B35">
            <v>0.77998691955526489</v>
          </cell>
        </row>
        <row r="36">
          <cell r="B36">
            <v>0.98115085348935405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0.90940446079558523</v>
          </cell>
        </row>
        <row r="28">
          <cell r="B28">
            <v>0.9940967330784195</v>
          </cell>
        </row>
        <row r="31">
          <cell r="B31">
            <v>0.97718631178707227</v>
          </cell>
        </row>
        <row r="35">
          <cell r="B35">
            <v>0.84619988031119087</v>
          </cell>
        </row>
        <row r="36">
          <cell r="B36">
            <v>0.96484190655969793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0.9476321905868681</v>
          </cell>
        </row>
        <row r="28">
          <cell r="B28">
            <v>1.006065206497067</v>
          </cell>
        </row>
        <row r="31">
          <cell r="B31">
            <v>0.89187866927592951</v>
          </cell>
        </row>
        <row r="35">
          <cell r="B35">
            <v>0.8933575978161965</v>
          </cell>
        </row>
        <row r="36">
          <cell r="B36">
            <v>0.98858517434273974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0.98165287902367104</v>
          </cell>
        </row>
        <row r="28">
          <cell r="B28">
            <v>1.0120298512402164</v>
          </cell>
        </row>
        <row r="31">
          <cell r="B31">
            <v>0.8933405522468868</v>
          </cell>
        </row>
        <row r="35">
          <cell r="B35">
            <v>0.94960362400906007</v>
          </cell>
        </row>
        <row r="36">
          <cell r="B36">
            <v>1.0029378384513117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0.98934941614269212</v>
          </cell>
        </row>
        <row r="28">
          <cell r="B28">
            <v>1.0098587610124459</v>
          </cell>
        </row>
        <row r="31">
          <cell r="B31">
            <v>1.010752688172043</v>
          </cell>
        </row>
        <row r="35">
          <cell r="B35">
            <v>0.61376936316695352</v>
          </cell>
        </row>
        <row r="36">
          <cell r="B36">
            <v>0.97699448068238837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1.0195406239286939</v>
          </cell>
        </row>
        <row r="28">
          <cell r="B28">
            <v>1.0209450013979311</v>
          </cell>
        </row>
        <row r="31">
          <cell r="B31">
            <v>1.0692243536280233</v>
          </cell>
        </row>
        <row r="35">
          <cell r="B35">
            <v>0.65453125000000001</v>
          </cell>
        </row>
        <row r="36">
          <cell r="B36">
            <v>1.0060850627722264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1.0283256528417819</v>
          </cell>
        </row>
        <row r="28">
          <cell r="B28">
            <v>1.0205930807248764</v>
          </cell>
        </row>
        <row r="31">
          <cell r="B31">
            <v>1.044750430292599</v>
          </cell>
        </row>
        <row r="35">
          <cell r="B35">
            <v>0.90168776371308013</v>
          </cell>
        </row>
        <row r="36">
          <cell r="B36">
            <v>1.0153420233014188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0.92714263967118282</v>
          </cell>
        </row>
        <row r="28">
          <cell r="B28">
            <v>0.9720227893834823</v>
          </cell>
        </row>
        <row r="31">
          <cell r="B31">
            <v>1.0970873786407767</v>
          </cell>
        </row>
        <row r="35">
          <cell r="B35">
            <v>0.75586523196330924</v>
          </cell>
        </row>
        <row r="36">
          <cell r="B36">
            <v>0.94248677375338141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0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1.0770138683977575</v>
          </cell>
        </row>
        <row r="28">
          <cell r="B28">
            <v>0.99291958041958039</v>
          </cell>
        </row>
        <row r="31">
          <cell r="B31">
            <v>1.2136563876651982</v>
          </cell>
        </row>
        <row r="35">
          <cell r="B35">
            <v>1.1345132743362831</v>
          </cell>
        </row>
        <row r="36">
          <cell r="B36">
            <v>1.0222741039878849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0.98068580112257653</v>
          </cell>
        </row>
        <row r="28">
          <cell r="B28">
            <v>1.0068378213070275</v>
          </cell>
        </row>
        <row r="31">
          <cell r="B31">
            <v>1.0820350535540408</v>
          </cell>
        </row>
        <row r="35">
          <cell r="B35">
            <v>0.98816101026045777</v>
          </cell>
        </row>
        <row r="36">
          <cell r="B36">
            <v>1.0043037730903177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1.0311371841155235</v>
          </cell>
        </row>
        <row r="28">
          <cell r="B28">
            <v>0.99973311982919666</v>
          </cell>
        </row>
        <row r="31">
          <cell r="B31">
            <v>0.78125</v>
          </cell>
        </row>
        <row r="35">
          <cell r="B35">
            <v>0.9211538461538461</v>
          </cell>
        </row>
        <row r="36">
          <cell r="B36">
            <v>0.99913378248315687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0.94489808639281925</v>
          </cell>
        </row>
        <row r="28">
          <cell r="B28">
            <v>0.9734527398474907</v>
          </cell>
        </row>
        <row r="31">
          <cell r="B31">
            <v>1.1022304832713754</v>
          </cell>
        </row>
        <row r="35">
          <cell r="B35">
            <v>1.0343627664201827</v>
          </cell>
        </row>
        <row r="36">
          <cell r="B36">
            <v>0.97156311711985421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0.95491043854231006</v>
          </cell>
        </row>
        <row r="28">
          <cell r="B28">
            <v>1.0468381311939594</v>
          </cell>
        </row>
        <row r="31">
          <cell r="B31">
            <v>1.139344262295082</v>
          </cell>
        </row>
        <row r="35">
          <cell r="B35">
            <v>0.81601362862010218</v>
          </cell>
        </row>
        <row r="36">
          <cell r="B36">
            <v>1.0215660866345797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1.0098543742472352</v>
          </cell>
        </row>
        <row r="28">
          <cell r="B28">
            <v>0.99426820832098028</v>
          </cell>
        </row>
        <row r="31">
          <cell r="B31">
            <v>0.80203515263644776</v>
          </cell>
        </row>
        <row r="35">
          <cell r="B35">
            <v>0.81693605059732954</v>
          </cell>
        </row>
        <row r="36">
          <cell r="B36">
            <v>0.98361849970113568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0.9490829319786237</v>
          </cell>
        </row>
        <row r="28">
          <cell r="B28">
            <v>0.97834922977883243</v>
          </cell>
        </row>
        <row r="31">
          <cell r="B31">
            <v>0.9987611496531219</v>
          </cell>
        </row>
        <row r="35">
          <cell r="B35">
            <v>0.72214976632974681</v>
          </cell>
        </row>
        <row r="36">
          <cell r="B36">
            <v>0.96424790292369089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0.97663224904898693</v>
          </cell>
        </row>
        <row r="28">
          <cell r="B28">
            <v>1.0136525795828759</v>
          </cell>
        </row>
        <row r="31">
          <cell r="B31">
            <v>1.2229232386961093</v>
          </cell>
        </row>
        <row r="35">
          <cell r="B35">
            <v>0.95621217515129941</v>
          </cell>
        </row>
        <row r="36">
          <cell r="B36">
            <v>1.0063774453775944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0.95772771792360434</v>
          </cell>
        </row>
        <row r="28">
          <cell r="B28">
            <v>1.0325457449060089</v>
          </cell>
        </row>
        <row r="31">
          <cell r="B31">
            <v>1.1167929292929293</v>
          </cell>
        </row>
        <row r="35">
          <cell r="B35">
            <v>0.87241292276627969</v>
          </cell>
        </row>
        <row r="36">
          <cell r="B36">
            <v>1.0106347002065059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0.92657752756274925</v>
          </cell>
        </row>
        <row r="28">
          <cell r="B28">
            <v>1.0480642917857972</v>
          </cell>
        </row>
        <row r="31">
          <cell r="B31">
            <v>0.91007194244604317</v>
          </cell>
        </row>
        <row r="35">
          <cell r="B35">
            <v>0.54296875</v>
          </cell>
        </row>
        <row r="36">
          <cell r="B36">
            <v>0.97802082237879906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0.91748813435560428</v>
          </cell>
        </row>
        <row r="28">
          <cell r="B28">
            <v>0.91002736198293899</v>
          </cell>
        </row>
        <row r="31">
          <cell r="B31">
            <v>1.0760000000000001</v>
          </cell>
        </row>
        <row r="35">
          <cell r="B35">
            <v>0.85737704918032787</v>
          </cell>
        </row>
        <row r="36">
          <cell r="B36">
            <v>0.91403075452155202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0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1.0186821630967247</v>
          </cell>
        </row>
        <row r="28">
          <cell r="B28">
            <v>1.007961396484488</v>
          </cell>
        </row>
        <row r="31">
          <cell r="B31">
            <v>0.9309749784296808</v>
          </cell>
        </row>
        <row r="35">
          <cell r="B35">
            <v>0.42494555201876361</v>
          </cell>
        </row>
        <row r="36">
          <cell r="B36">
            <v>0.95123653769445549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1.0518887505188874</v>
          </cell>
        </row>
        <row r="28">
          <cell r="B28">
            <v>1.0251125521457189</v>
          </cell>
        </row>
        <row r="31">
          <cell r="B31">
            <v>0.96979865771812079</v>
          </cell>
        </row>
        <row r="35">
          <cell r="B35">
            <v>1.029229904440697</v>
          </cell>
        </row>
        <row r="36">
          <cell r="B36">
            <v>1.0258764892636465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0.99706246134817567</v>
          </cell>
        </row>
        <row r="28">
          <cell r="B28">
            <v>0.987140902872777</v>
          </cell>
        </row>
        <row r="31">
          <cell r="B31">
            <v>1.0077262693156732</v>
          </cell>
        </row>
        <row r="35">
          <cell r="B35">
            <v>1.0663811563169165</v>
          </cell>
        </row>
        <row r="36">
          <cell r="B36">
            <v>0.99313964970635626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1.0332809837270691</v>
          </cell>
        </row>
        <row r="28">
          <cell r="B28">
            <v>0.97869819951616011</v>
          </cell>
        </row>
        <row r="31">
          <cell r="B31">
            <v>0.91437308868501532</v>
          </cell>
        </row>
        <row r="35">
          <cell r="B35">
            <v>0.93441938178780282</v>
          </cell>
        </row>
        <row r="36">
          <cell r="B36">
            <v>0.98249227277571927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1.0339890822947782</v>
          </cell>
        </row>
        <row r="28">
          <cell r="B28">
            <v>0.91248411497730708</v>
          </cell>
        </row>
        <row r="31">
          <cell r="B31">
            <v>2.6839557399723373</v>
          </cell>
        </row>
        <row r="35">
          <cell r="B35">
            <v>0.91094797318863707</v>
          </cell>
        </row>
        <row r="36">
          <cell r="B36">
            <v>0.95103856035825951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1.0111524163568772</v>
          </cell>
        </row>
        <row r="28">
          <cell r="B28">
            <v>1.0165054574496406</v>
          </cell>
        </row>
        <row r="31">
          <cell r="B31">
            <v>0.77777777777777779</v>
          </cell>
        </row>
        <row r="35">
          <cell r="B35">
            <v>0.97175141242937857</v>
          </cell>
        </row>
        <row r="36">
          <cell r="B36">
            <v>1.0098684210526316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0.98520770010131709</v>
          </cell>
        </row>
        <row r="28">
          <cell r="B28">
            <v>1.0181730246055256</v>
          </cell>
        </row>
        <row r="31">
          <cell r="B31">
            <v>0.73695345557122705</v>
          </cell>
        </row>
        <row r="35">
          <cell r="B35">
            <v>0.62933799941673962</v>
          </cell>
        </row>
        <row r="36">
          <cell r="B36">
            <v>0.99648289809197221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0.91500576511283149</v>
          </cell>
        </row>
        <row r="28">
          <cell r="B28">
            <v>1.0012447940461766</v>
          </cell>
        </row>
        <row r="31">
          <cell r="B31">
            <v>1.0908096280087527</v>
          </cell>
        </row>
        <row r="35">
          <cell r="B35">
            <v>0.9192751235584844</v>
          </cell>
        </row>
        <row r="36">
          <cell r="B36">
            <v>0.99344161013223709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0.99430527036276528</v>
          </cell>
        </row>
        <row r="28">
          <cell r="B28">
            <v>1.0104191679992915</v>
          </cell>
        </row>
        <row r="31">
          <cell r="B31">
            <v>0.95588038085020788</v>
          </cell>
        </row>
        <row r="35">
          <cell r="B35">
            <v>1.0141413579044067</v>
          </cell>
        </row>
        <row r="36">
          <cell r="B36">
            <v>1.0083582403495084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1.0524469950581858</v>
          </cell>
        </row>
        <row r="28">
          <cell r="B28">
            <v>1.0190393427081688</v>
          </cell>
        </row>
        <row r="31">
          <cell r="B31">
            <v>0.94830371567043614</v>
          </cell>
        </row>
        <row r="35">
          <cell r="B35">
            <v>0.72997264556467367</v>
          </cell>
        </row>
        <row r="36">
          <cell r="B36">
            <v>1.0135481343058654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0.94288901282766313</v>
          </cell>
        </row>
        <row r="28">
          <cell r="B28">
            <v>0.95936287522973251</v>
          </cell>
        </row>
        <row r="31">
          <cell r="B31">
            <v>0.90417136414881627</v>
          </cell>
        </row>
        <row r="35">
          <cell r="B35">
            <v>0.751128818061089</v>
          </cell>
        </row>
        <row r="36">
          <cell r="B36">
            <v>0.93842012834610777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0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0.98292162244586767</v>
          </cell>
        </row>
        <row r="28">
          <cell r="B28">
            <v>1.0115253016387538</v>
          </cell>
        </row>
        <row r="31">
          <cell r="B31">
            <v>0.8883928571428571</v>
          </cell>
        </row>
        <row r="35">
          <cell r="B35">
            <v>0.52967806841046272</v>
          </cell>
        </row>
        <row r="36">
          <cell r="B36">
            <v>0.97831436065219157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1.0001818181818183</v>
          </cell>
        </row>
        <row r="28">
          <cell r="B28">
            <v>0.99566210648637232</v>
          </cell>
        </row>
        <row r="31">
          <cell r="B31">
            <v>0.99176954732510292</v>
          </cell>
        </row>
        <row r="35">
          <cell r="B35">
            <v>0.73705834018077243</v>
          </cell>
        </row>
        <row r="36">
          <cell r="B36">
            <v>0.98751468054046343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1.0511998345055855</v>
          </cell>
        </row>
        <row r="28">
          <cell r="B28">
            <v>0.97410481599204612</v>
          </cell>
        </row>
        <row r="31">
          <cell r="B31">
            <v>0.78813559322033899</v>
          </cell>
        </row>
        <row r="35">
          <cell r="B35">
            <v>0.89434585224927776</v>
          </cell>
        </row>
        <row r="36">
          <cell r="B36">
            <v>0.97941451339951002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1.0490405117270789</v>
          </cell>
        </row>
        <row r="28">
          <cell r="B28">
            <v>1.0319867286618847</v>
          </cell>
        </row>
        <row r="31">
          <cell r="B31">
            <v>0.98865478119935168</v>
          </cell>
        </row>
        <row r="35">
          <cell r="B35">
            <v>1.0810810810810811</v>
          </cell>
        </row>
        <row r="36">
          <cell r="B36">
            <v>1.0360884315699213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0.9668831168831169</v>
          </cell>
        </row>
        <row r="28">
          <cell r="B28">
            <v>1.0040218017671918</v>
          </cell>
        </row>
        <row r="31">
          <cell r="B31">
            <v>0.93390287769784175</v>
          </cell>
        </row>
        <row r="35">
          <cell r="B35">
            <v>0.65274828969096488</v>
          </cell>
        </row>
        <row r="36">
          <cell r="B36">
            <v>0.98393923170941122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0.99081797995559018</v>
          </cell>
        </row>
        <row r="28">
          <cell r="B28">
            <v>0.98019801980198018</v>
          </cell>
        </row>
        <row r="31">
          <cell r="B31">
            <v>1.0124023886081763</v>
          </cell>
        </row>
        <row r="35">
          <cell r="B35">
            <v>0.96095753776004555</v>
          </cell>
        </row>
        <row r="36">
          <cell r="B36">
            <v>0.98115595075239403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1.0743682310469314</v>
          </cell>
        </row>
        <row r="28">
          <cell r="B28">
            <v>0.99691774224619534</v>
          </cell>
        </row>
        <row r="31">
          <cell r="B31">
            <v>0.92138364779874216</v>
          </cell>
        </row>
        <row r="35">
          <cell r="B35">
            <v>0.86533333333333329</v>
          </cell>
        </row>
        <row r="36">
          <cell r="B36">
            <v>1.0016485497913554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1.0677128489682677</v>
          </cell>
        </row>
        <row r="28">
          <cell r="B28">
            <v>0.97248269122814313</v>
          </cell>
        </row>
        <row r="31">
          <cell r="B31">
            <v>1.0300751879699248</v>
          </cell>
        </row>
        <row r="35">
          <cell r="B35">
            <v>0.95026178010471207</v>
          </cell>
        </row>
        <row r="36">
          <cell r="B36">
            <v>0.98234943781696116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0.96460905349794235</v>
          </cell>
        </row>
        <row r="28">
          <cell r="B28">
            <v>1.00276911445043</v>
          </cell>
        </row>
        <row r="31">
          <cell r="B31">
            <v>0.95833333333333337</v>
          </cell>
        </row>
        <row r="35">
          <cell r="B35">
            <v>0.85736174954729072</v>
          </cell>
        </row>
        <row r="36">
          <cell r="B36">
            <v>0.99081380663947816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1.0286081645773064</v>
          </cell>
        </row>
        <row r="28">
          <cell r="B28">
            <v>1.0410902454818391</v>
          </cell>
        </row>
        <row r="31">
          <cell r="B31">
            <v>1.0229508196721311</v>
          </cell>
        </row>
        <row r="35">
          <cell r="B35">
            <v>0.82301740812379109</v>
          </cell>
        </row>
        <row r="36">
          <cell r="B36">
            <v>1.0285021224984838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0.92280531476957062</v>
          </cell>
        </row>
        <row r="28">
          <cell r="B28">
            <v>0.98769162619247264</v>
          </cell>
        </row>
        <row r="31">
          <cell r="B31">
            <v>0.98161586840832127</v>
          </cell>
        </row>
        <row r="35">
          <cell r="B35">
            <v>0.92395878682339283</v>
          </cell>
        </row>
        <row r="36">
          <cell r="B36">
            <v>0.95487587644494976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0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1.0863636363636364</v>
          </cell>
        </row>
        <row r="28">
          <cell r="B28">
            <v>1.0226657306187945</v>
          </cell>
        </row>
        <row r="31">
          <cell r="B31">
            <v>0.95407407407407407</v>
          </cell>
        </row>
        <row r="35">
          <cell r="B35">
            <v>0.95066518847006654</v>
          </cell>
        </row>
        <row r="36">
          <cell r="B36">
            <v>1.0252125476399883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1.074604457789583</v>
          </cell>
        </row>
        <row r="28">
          <cell r="B28">
            <v>1.0262692512404925</v>
          </cell>
        </row>
        <row r="31">
          <cell r="B31">
            <v>0.91463414634146345</v>
          </cell>
        </row>
        <row r="35">
          <cell r="B35">
            <v>0.77003319108582269</v>
          </cell>
        </row>
        <row r="36">
          <cell r="B36">
            <v>1.0227055687794866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1.0719424460431655</v>
          </cell>
        </row>
        <row r="28">
          <cell r="B28">
            <v>0.97209332723351416</v>
          </cell>
        </row>
        <row r="31">
          <cell r="B31">
            <v>1.253393665158371</v>
          </cell>
        </row>
        <row r="35">
          <cell r="B35">
            <v>0.99599198396793587</v>
          </cell>
        </row>
        <row r="36">
          <cell r="B36">
            <v>0.99424497071555895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1.0523623753792803</v>
          </cell>
        </row>
        <row r="28">
          <cell r="B28">
            <v>1.0094117199680572</v>
          </cell>
        </row>
        <row r="31">
          <cell r="B31">
            <v>1.0309477756286267</v>
          </cell>
        </row>
        <row r="35">
          <cell r="B35">
            <v>1.1425224521671222</v>
          </cell>
        </row>
        <row r="36">
          <cell r="B36">
            <v>1.0220896580237435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1.0952513966480446</v>
          </cell>
        </row>
        <row r="28">
          <cell r="B28">
            <v>0.99665674937889148</v>
          </cell>
        </row>
        <row r="31">
          <cell r="B31">
            <v>0.69093231162196678</v>
          </cell>
        </row>
        <row r="35">
          <cell r="B35">
            <v>0.89674754775425913</v>
          </cell>
        </row>
        <row r="36">
          <cell r="B36">
            <v>1.0056666666666667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1.058988326848249</v>
          </cell>
        </row>
        <row r="28">
          <cell r="B28">
            <v>0.97873771642489471</v>
          </cell>
        </row>
        <row r="31">
          <cell r="B31">
            <v>0.91006423982869378</v>
          </cell>
        </row>
        <row r="35">
          <cell r="B35">
            <v>0.66978193146417442</v>
          </cell>
        </row>
        <row r="36">
          <cell r="B36">
            <v>0.98316170000237824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1.1013089474627935</v>
          </cell>
        </row>
        <row r="28">
          <cell r="B28">
            <v>0.98163518412516693</v>
          </cell>
        </row>
        <row r="31">
          <cell r="B31">
            <v>1.043222003929273</v>
          </cell>
        </row>
        <row r="35">
          <cell r="B35">
            <v>0.92771084337349397</v>
          </cell>
        </row>
        <row r="36">
          <cell r="B36">
            <v>1.0035135799866484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1.0717612809315866</v>
          </cell>
        </row>
        <row r="28">
          <cell r="B28">
            <v>1.039983145278337</v>
          </cell>
        </row>
        <row r="31">
          <cell r="B31">
            <v>1.0703703703703704</v>
          </cell>
        </row>
        <row r="35">
          <cell r="B35">
            <v>1.1104513064133017</v>
          </cell>
        </row>
        <row r="36">
          <cell r="B36">
            <v>1.0531714331362838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1.0431261828674259</v>
          </cell>
        </row>
        <row r="28">
          <cell r="B28">
            <v>1.0029684127737759</v>
          </cell>
        </row>
        <row r="31">
          <cell r="B31">
            <v>1.0783733421023787</v>
          </cell>
        </row>
        <row r="35">
          <cell r="B35">
            <v>0.9546073536087154</v>
          </cell>
        </row>
        <row r="36">
          <cell r="B36">
            <v>1.0047769601413759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0.97552122526669915</v>
          </cell>
        </row>
        <row r="28">
          <cell r="B28">
            <v>0.99884258127198688</v>
          </cell>
        </row>
        <row r="31">
          <cell r="B31">
            <v>0.94050679397723103</v>
          </cell>
        </row>
        <row r="35">
          <cell r="B35">
            <v>0.79002602636218622</v>
          </cell>
        </row>
        <row r="36">
          <cell r="B36">
            <v>0.98961743549784553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0.9345626264897684</v>
          </cell>
        </row>
        <row r="28">
          <cell r="B28">
            <v>0.96481810586066497</v>
          </cell>
        </row>
        <row r="31">
          <cell r="B31">
            <v>0.96487858416792427</v>
          </cell>
        </row>
        <row r="35">
          <cell r="B35">
            <v>0.79796916309866406</v>
          </cell>
        </row>
        <row r="36">
          <cell r="B36">
            <v>0.94035989972120915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0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1.0140041149532091</v>
          </cell>
        </row>
        <row r="28">
          <cell r="B28">
            <v>0.98654636576160859</v>
          </cell>
        </row>
        <row r="31">
          <cell r="B31">
            <v>0.88427518427518426</v>
          </cell>
        </row>
        <row r="35">
          <cell r="B35">
            <v>0.76732896816437124</v>
          </cell>
        </row>
        <row r="36">
          <cell r="B36">
            <v>0.97430910887474909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1.0862863217576186</v>
          </cell>
        </row>
        <row r="28">
          <cell r="B28">
            <v>0.98121755545068423</v>
          </cell>
        </row>
        <row r="31">
          <cell r="B31">
            <v>1.064888888888889</v>
          </cell>
        </row>
        <row r="35">
          <cell r="B35">
            <v>0.90832220738762792</v>
          </cell>
        </row>
        <row r="36">
          <cell r="B36">
            <v>0.99140010895789554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1.0787044281020184</v>
          </cell>
        </row>
        <row r="28">
          <cell r="B28">
            <v>0.98776695851403318</v>
          </cell>
        </row>
        <row r="31">
          <cell r="B31">
            <v>1.1069444444444445</v>
          </cell>
        </row>
        <row r="35">
          <cell r="B35">
            <v>0.99702774108322323</v>
          </cell>
        </row>
        <row r="36">
          <cell r="B36">
            <v>1.0078655909314362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1.0482263701940953</v>
          </cell>
        </row>
        <row r="28">
          <cell r="B28">
            <v>1.0115420300612359</v>
          </cell>
        </row>
        <row r="31">
          <cell r="B31">
            <v>1.1058225508317929</v>
          </cell>
        </row>
        <row r="35">
          <cell r="B35">
            <v>0.88406320541760719</v>
          </cell>
        </row>
        <row r="36">
          <cell r="B36">
            <v>1.0097133126115998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1.0582750582750582</v>
          </cell>
        </row>
        <row r="28">
          <cell r="B28">
            <v>1.0202595758151314</v>
          </cell>
        </row>
        <row r="31">
          <cell r="B31">
            <v>1.1055276381909547</v>
          </cell>
        </row>
        <row r="35">
          <cell r="B35">
            <v>0.78723404255319152</v>
          </cell>
        </row>
        <row r="36">
          <cell r="B36">
            <v>1.0155363865986751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1.0062896885394617</v>
          </cell>
        </row>
        <row r="28">
          <cell r="B28">
            <v>0.99711504331211154</v>
          </cell>
        </row>
        <row r="31">
          <cell r="B31">
            <v>0.98480371464753058</v>
          </cell>
        </row>
        <row r="35">
          <cell r="B35">
            <v>1.0975581795253926</v>
          </cell>
        </row>
        <row r="36">
          <cell r="B36">
            <v>1.0033554530798936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1.0693035604874397</v>
          </cell>
        </row>
        <row r="28">
          <cell r="B28">
            <v>1.0125537842694405</v>
          </cell>
        </row>
        <row r="31">
          <cell r="B31">
            <v>1.0205819730305181</v>
          </cell>
        </row>
        <row r="35">
          <cell r="B35">
            <v>1.012715033657442</v>
          </cell>
        </row>
        <row r="36">
          <cell r="B36">
            <v>1.018424577206265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1.0428921568627452</v>
          </cell>
        </row>
        <row r="28">
          <cell r="B28">
            <v>1.0057079661803003</v>
          </cell>
        </row>
        <row r="31">
          <cell r="B31">
            <v>1.0795660036166366</v>
          </cell>
        </row>
        <row r="35">
          <cell r="B35">
            <v>0.92100065832784728</v>
          </cell>
        </row>
        <row r="36">
          <cell r="B36">
            <v>1.0106550591502657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0.94388261851015798</v>
          </cell>
        </row>
        <row r="28">
          <cell r="B28">
            <v>0.95562094786956631</v>
          </cell>
        </row>
        <row r="31">
          <cell r="B31">
            <v>0.99112426035502954</v>
          </cell>
        </row>
        <row r="35">
          <cell r="B35">
            <v>0.70333912372128937</v>
          </cell>
        </row>
        <row r="36">
          <cell r="B36">
            <v>0.94576194184839046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1.1048353480616924</v>
          </cell>
        </row>
        <row r="28">
          <cell r="B28">
            <v>1.0086339985133512</v>
          </cell>
        </row>
        <row r="31">
          <cell r="B31">
            <v>1</v>
          </cell>
        </row>
        <row r="35">
          <cell r="B35">
            <v>0.88843274571359576</v>
          </cell>
        </row>
        <row r="36">
          <cell r="B36">
            <v>1.0207891563760343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0.99308573686290003</v>
          </cell>
        </row>
        <row r="28">
          <cell r="B28">
            <v>0.96429736962339274</v>
          </cell>
        </row>
        <row r="31">
          <cell r="B31">
            <v>0.9871060171919771</v>
          </cell>
        </row>
        <row r="35">
          <cell r="B35">
            <v>0.5298455056179775</v>
          </cell>
        </row>
        <row r="36">
          <cell r="B36">
            <v>0.94126802337532667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0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1.1199456337071017</v>
          </cell>
        </row>
        <row r="28">
          <cell r="B28">
            <v>0.99392011972687311</v>
          </cell>
        </row>
        <row r="31">
          <cell r="B31">
            <v>0.94594594594594594</v>
          </cell>
        </row>
        <row r="35">
          <cell r="B35">
            <v>0.89918256130790186</v>
          </cell>
        </row>
        <row r="36">
          <cell r="B36">
            <v>1.0129949238578679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1.0752285951787199</v>
          </cell>
        </row>
        <row r="28">
          <cell r="B28">
            <v>1.0100075784903251</v>
          </cell>
        </row>
        <row r="31">
          <cell r="B31">
            <v>1.0720823798627002</v>
          </cell>
        </row>
        <row r="35">
          <cell r="B35">
            <v>0.99572274621627554</v>
          </cell>
        </row>
        <row r="36">
          <cell r="B36">
            <v>1.0138882639670042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1.0557661072008662</v>
          </cell>
        </row>
        <row r="28">
          <cell r="B28">
            <v>0.962189838519102</v>
          </cell>
        </row>
        <row r="31">
          <cell r="B31">
            <v>1.1707317073170731</v>
          </cell>
        </row>
        <row r="35">
          <cell r="B35">
            <v>0.9616724738675958</v>
          </cell>
        </row>
        <row r="36">
          <cell r="B36">
            <v>0.98305597579425108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0.99019965911857799</v>
          </cell>
        </row>
        <row r="28">
          <cell r="B28">
            <v>1.0010976033344912</v>
          </cell>
        </row>
        <row r="31">
          <cell r="B31">
            <v>0.92318634423897583</v>
          </cell>
        </row>
        <row r="35">
          <cell r="B35">
            <v>0.93118383060635224</v>
          </cell>
        </row>
        <row r="36">
          <cell r="B36">
            <v>0.99877420185218102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1.1282392026578074</v>
          </cell>
        </row>
        <row r="28">
          <cell r="B28">
            <v>0.98643457382953181</v>
          </cell>
        </row>
        <row r="31">
          <cell r="B31">
            <v>1.1518987341772151</v>
          </cell>
        </row>
        <row r="35">
          <cell r="B35">
            <v>1.1374407582938388</v>
          </cell>
        </row>
        <row r="36">
          <cell r="B36">
            <v>1.0155544887181949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0.9574588769143505</v>
          </cell>
        </row>
        <row r="28">
          <cell r="B28">
            <v>1.0139738908880775</v>
          </cell>
        </row>
        <row r="31">
          <cell r="B31">
            <v>0.76220614828209765</v>
          </cell>
        </row>
        <row r="35">
          <cell r="B35">
            <v>0.98924205378973107</v>
          </cell>
        </row>
        <row r="36">
          <cell r="B36">
            <v>0.99744189299918062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0.96970931416766082</v>
          </cell>
        </row>
        <row r="28">
          <cell r="B28">
            <v>0.98638598368025132</v>
          </cell>
        </row>
        <row r="31">
          <cell r="B31">
            <v>1.0075703808847882</v>
          </cell>
        </row>
        <row r="35">
          <cell r="B35">
            <v>0.75032914422501495</v>
          </cell>
        </row>
        <row r="36">
          <cell r="B36">
            <v>0.97550027041644127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1.0329865516366405</v>
          </cell>
        </row>
        <row r="28">
          <cell r="B28">
            <v>1.0245884314600409</v>
          </cell>
        </row>
        <row r="31">
          <cell r="B31">
            <v>1.0241779497098646</v>
          </cell>
        </row>
        <row r="35">
          <cell r="B35">
            <v>0.92844364937388191</v>
          </cell>
        </row>
        <row r="36">
          <cell r="B36">
            <v>1.0199002998947388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0.99811907690081747</v>
          </cell>
        </row>
        <row r="28">
          <cell r="B28">
            <v>1.0032157532207158</v>
          </cell>
        </row>
        <row r="31">
          <cell r="B31">
            <v>0.97619047619047616</v>
          </cell>
        </row>
        <row r="35">
          <cell r="B35">
            <v>0.96703767123287676</v>
          </cell>
        </row>
        <row r="36">
          <cell r="B36">
            <v>1.0002272303060304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1.0942307692307693</v>
          </cell>
        </row>
        <row r="28">
          <cell r="B28">
            <v>0.99200358717584636</v>
          </cell>
        </row>
        <row r="31">
          <cell r="B31">
            <v>1.1323076923076922</v>
          </cell>
        </row>
        <row r="35">
          <cell r="B35">
            <v>0.78657718120805364</v>
          </cell>
        </row>
        <row r="36">
          <cell r="B36">
            <v>1.0066331324968216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0.97191885526986266</v>
          </cell>
        </row>
        <row r="28">
          <cell r="B28">
            <v>0.99887047767499126</v>
          </cell>
        </row>
        <row r="31">
          <cell r="B31">
            <v>1.0327187274041938</v>
          </cell>
        </row>
        <row r="35">
          <cell r="B35">
            <v>0.91940718303764601</v>
          </cell>
        </row>
        <row r="36">
          <cell r="B36">
            <v>0.98463506139154156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1.0953238882974368</v>
          </cell>
        </row>
        <row r="28">
          <cell r="B28">
            <v>0.94327704009281943</v>
          </cell>
        </row>
        <row r="31">
          <cell r="B31">
            <v>1.014792899408284</v>
          </cell>
        </row>
        <row r="35">
          <cell r="B35">
            <v>0.93200769724182164</v>
          </cell>
        </row>
        <row r="36">
          <cell r="B36">
            <v>1.0061778407940045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1.0044707009420406</v>
          </cell>
        </row>
        <row r="28">
          <cell r="B28">
            <v>0.99802944244812797</v>
          </cell>
        </row>
        <row r="31">
          <cell r="B31">
            <v>1.1394052044609666</v>
          </cell>
        </row>
        <row r="35">
          <cell r="B35">
            <v>0.96372334064181786</v>
          </cell>
        </row>
        <row r="36">
          <cell r="B36">
            <v>0.99823575933323871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0.93038646122758273</v>
          </cell>
        </row>
        <row r="28">
          <cell r="B28">
            <v>0.96642793771617397</v>
          </cell>
        </row>
        <row r="31">
          <cell r="B31">
            <v>1.4570259208731242</v>
          </cell>
        </row>
        <row r="35">
          <cell r="B35">
            <v>0.69942196531791911</v>
          </cell>
        </row>
        <row r="36">
          <cell r="B36">
            <v>0.95576410155092362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0.93239957908487248</v>
          </cell>
        </row>
        <row r="28">
          <cell r="B28">
            <v>0.96558455643120522</v>
          </cell>
        </row>
        <row r="31">
          <cell r="B31">
            <v>0.96253122398001667</v>
          </cell>
        </row>
        <row r="35">
          <cell r="B35">
            <v>0.85124197599776719</v>
          </cell>
        </row>
        <row r="36">
          <cell r="B36">
            <v>0.94345471210732434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0.91148138505597498</v>
          </cell>
        </row>
        <row r="28">
          <cell r="B28">
            <v>0.98646630154347525</v>
          </cell>
        </row>
        <row r="31">
          <cell r="B31">
            <v>0.85892634207240948</v>
          </cell>
        </row>
        <row r="35">
          <cell r="B35">
            <v>0.89116607773851586</v>
          </cell>
        </row>
        <row r="36">
          <cell r="B36">
            <v>0.9461372387544793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0.94662459297055956</v>
          </cell>
        </row>
        <row r="28">
          <cell r="B28">
            <v>0.9881188511583624</v>
          </cell>
        </row>
        <row r="31">
          <cell r="B31">
            <v>0.98800599700149927</v>
          </cell>
        </row>
        <row r="35">
          <cell r="B35">
            <v>0.69214684014869887</v>
          </cell>
        </row>
        <row r="36">
          <cell r="B36">
            <v>0.95887841757627301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0.91158641856896216</v>
          </cell>
        </row>
        <row r="28">
          <cell r="B28">
            <v>0.97929223048239955</v>
          </cell>
        </row>
        <row r="31">
          <cell r="B31">
            <v>0.81635330126803674</v>
          </cell>
        </row>
        <row r="35">
          <cell r="B35">
            <v>0.89596690796277145</v>
          </cell>
        </row>
        <row r="36">
          <cell r="B36">
            <v>0.93518102091297506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0.87516087516087515</v>
          </cell>
        </row>
        <row r="28">
          <cell r="B28">
            <v>0.88305274971941639</v>
          </cell>
        </row>
        <row r="31">
          <cell r="B31">
            <v>0.71992481203007519</v>
          </cell>
        </row>
        <row r="35">
          <cell r="B35">
            <v>0.78371501272264632</v>
          </cell>
        </row>
        <row r="36">
          <cell r="B36">
            <v>0.86802874621369608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0.90696265786365426</v>
          </cell>
        </row>
        <row r="28">
          <cell r="B28">
            <v>0.95819597069597073</v>
          </cell>
        </row>
        <row r="31">
          <cell r="B31">
            <v>1.1838006230529594</v>
          </cell>
        </row>
        <row r="35">
          <cell r="B35">
            <v>0.84685682636388815</v>
          </cell>
        </row>
        <row r="36">
          <cell r="B36">
            <v>0.93510760031006612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0.96370372163974916</v>
          </cell>
        </row>
        <row r="28">
          <cell r="B28">
            <v>0.97059647619204592</v>
          </cell>
        </row>
        <row r="31">
          <cell r="B31">
            <v>1.1540663009778203</v>
          </cell>
        </row>
        <row r="35">
          <cell r="B35">
            <v>0.73598130841121501</v>
          </cell>
        </row>
        <row r="36">
          <cell r="B36">
            <v>0.95897917782715225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0.96419526678892675</v>
          </cell>
        </row>
        <row r="28">
          <cell r="B28">
            <v>1.0021016081871346</v>
          </cell>
        </row>
        <row r="31">
          <cell r="B31">
            <v>0.98562628336755642</v>
          </cell>
        </row>
        <row r="35">
          <cell r="B35">
            <v>0.72231884057971019</v>
          </cell>
        </row>
        <row r="36">
          <cell r="B36">
            <v>0.96452229040516924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0.94684522580454855</v>
          </cell>
        </row>
        <row r="28">
          <cell r="B28">
            <v>0.95197605795317874</v>
          </cell>
        </row>
        <row r="31">
          <cell r="B31">
            <v>1.248822605965463</v>
          </cell>
        </row>
        <row r="35">
          <cell r="B35">
            <v>1.0627495721620079</v>
          </cell>
        </row>
        <row r="36">
          <cell r="B36">
            <v>0.95993766289598836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0.95563490510663274</v>
          </cell>
        </row>
        <row r="28">
          <cell r="B28">
            <v>0.97655896119583274</v>
          </cell>
        </row>
        <row r="31">
          <cell r="B31">
            <v>1.1896325459317585</v>
          </cell>
        </row>
        <row r="35">
          <cell r="B35">
            <v>0.85663082437275984</v>
          </cell>
        </row>
        <row r="36">
          <cell r="B36">
            <v>0.96564564793950269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0.94407977783388031</v>
          </cell>
        </row>
        <row r="28">
          <cell r="B28">
            <v>0.93569642495100358</v>
          </cell>
        </row>
        <row r="31">
          <cell r="B31">
            <v>1.4315004659832247</v>
          </cell>
        </row>
        <row r="35">
          <cell r="B35">
            <v>0.85352673492605236</v>
          </cell>
        </row>
        <row r="36">
          <cell r="B36">
            <v>0.94332947936979072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0.97803152538165572</v>
          </cell>
        </row>
        <row r="28">
          <cell r="B28">
            <v>0.98974674459140777</v>
          </cell>
        </row>
        <row r="31">
          <cell r="B31">
            <v>1.3015873015873016</v>
          </cell>
        </row>
        <row r="35">
          <cell r="B35">
            <v>0.76170655567117584</v>
          </cell>
        </row>
        <row r="36">
          <cell r="B36">
            <v>0.97846589122917327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0.96846553966189852</v>
          </cell>
        </row>
        <row r="28">
          <cell r="B28">
            <v>0.97044259219389173</v>
          </cell>
        </row>
        <row r="31">
          <cell r="B31">
            <v>1.3681229773462784</v>
          </cell>
        </row>
        <row r="35">
          <cell r="B35">
            <v>0.83322411533420704</v>
          </cell>
        </row>
        <row r="36">
          <cell r="B36">
            <v>0.9708348939080591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0.95028602560610187</v>
          </cell>
        </row>
        <row r="28">
          <cell r="B28">
            <v>0.97901157981803144</v>
          </cell>
        </row>
        <row r="31">
          <cell r="B31">
            <v>0.9733893557422969</v>
          </cell>
        </row>
        <row r="35">
          <cell r="B35">
            <v>1.0026014568158168</v>
          </cell>
        </row>
        <row r="36">
          <cell r="B36">
            <v>0.96712245253440166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0.94773154923688063</v>
          </cell>
        </row>
        <row r="28">
          <cell r="B28">
            <v>0.91932647498461273</v>
          </cell>
        </row>
        <row r="31">
          <cell r="B31">
            <v>0.80270793036750487</v>
          </cell>
        </row>
        <row r="35">
          <cell r="B35">
            <v>0.91238471673254284</v>
          </cell>
        </row>
        <row r="36">
          <cell r="B36">
            <v>0.93008903969211854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0.96659149753612295</v>
          </cell>
        </row>
        <row r="28">
          <cell r="B28">
            <v>0.97362898074641846</v>
          </cell>
        </row>
        <row r="31">
          <cell r="B31">
            <v>1.052870090634441</v>
          </cell>
        </row>
        <row r="35">
          <cell r="B35">
            <v>0.87142857142857144</v>
          </cell>
        </row>
        <row r="36">
          <cell r="B36">
            <v>0.96505862910206974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0.92772946859903382</v>
          </cell>
        </row>
        <row r="28">
          <cell r="B28">
            <v>0.98460692688290274</v>
          </cell>
        </row>
        <row r="31">
          <cell r="B31">
            <v>1.1335740072202165</v>
          </cell>
        </row>
        <row r="35">
          <cell r="B35">
            <v>1.017776341305753</v>
          </cell>
        </row>
        <row r="36">
          <cell r="B36">
            <v>0.96273428195323763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0.82688635241178732</v>
          </cell>
        </row>
        <row r="28">
          <cell r="B28">
            <v>0.9994472584927373</v>
          </cell>
        </row>
        <row r="31">
          <cell r="B31">
            <v>1.0324350989702165</v>
          </cell>
        </row>
        <row r="35">
          <cell r="B35">
            <v>0.75107498093430036</v>
          </cell>
        </row>
        <row r="36">
          <cell r="B36">
            <v>0.89902674354103984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0.93281432554050459</v>
          </cell>
        </row>
        <row r="28">
          <cell r="B28">
            <v>0.98486135685678333</v>
          </cell>
        </row>
        <row r="31">
          <cell r="B31">
            <v>1.1512096774193548</v>
          </cell>
        </row>
        <row r="35">
          <cell r="B35">
            <v>0.67586295393301676</v>
          </cell>
        </row>
        <row r="36">
          <cell r="B36">
            <v>0.9526458379182382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0.9299794057075611</v>
          </cell>
        </row>
        <row r="28">
          <cell r="B28">
            <v>0.96843565730142211</v>
          </cell>
        </row>
        <row r="31">
          <cell r="B31">
            <v>0.71805702217529044</v>
          </cell>
        </row>
        <row r="35">
          <cell r="B35">
            <v>1.1119894598155469</v>
          </cell>
        </row>
        <row r="36">
          <cell r="B36">
            <v>0.95510302849803619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0.91856507657682385</v>
          </cell>
        </row>
        <row r="28">
          <cell r="B28">
            <v>0.95729033754784831</v>
          </cell>
        </row>
        <row r="31">
          <cell r="B31">
            <v>0.97329448895362947</v>
          </cell>
        </row>
        <row r="35">
          <cell r="B35">
            <v>0.75240520656479914</v>
          </cell>
        </row>
        <row r="36">
          <cell r="B36">
            <v>0.9289351492241037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0.95203367431843766</v>
          </cell>
        </row>
        <row r="28">
          <cell r="B28">
            <v>1.0042344845838296</v>
          </cell>
        </row>
        <row r="31">
          <cell r="B31">
            <v>1.1129170230966638</v>
          </cell>
        </row>
        <row r="35">
          <cell r="B35">
            <v>0.82400229687051396</v>
          </cell>
        </row>
        <row r="36">
          <cell r="B36">
            <v>0.97589991141002697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0.92744642396075394</v>
          </cell>
        </row>
        <row r="28">
          <cell r="B28">
            <v>0.97772363383223115</v>
          </cell>
        </row>
        <row r="31">
          <cell r="B31">
            <v>0.90256410256410258</v>
          </cell>
        </row>
        <row r="35">
          <cell r="B35">
            <v>0.8501057721365971</v>
          </cell>
        </row>
        <row r="36">
          <cell r="B36">
            <v>0.93739879525876024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0.95192719486081367</v>
          </cell>
        </row>
        <row r="28">
          <cell r="B28">
            <v>0.96552492590199002</v>
          </cell>
        </row>
        <row r="31">
          <cell r="B31">
            <v>0.88729219498450262</v>
          </cell>
        </row>
        <row r="35">
          <cell r="B35">
            <v>0.88809340235708778</v>
          </cell>
        </row>
        <row r="36">
          <cell r="B36">
            <v>0.95017658819281137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1.050365906155833</v>
          </cell>
        </row>
        <row r="28">
          <cell r="B28">
            <v>1.0056964600569647</v>
          </cell>
        </row>
        <row r="31">
          <cell r="B31">
            <v>0.91003460207612452</v>
          </cell>
        </row>
        <row r="35">
          <cell r="B35">
            <v>0.57887013939838594</v>
          </cell>
        </row>
        <row r="36">
          <cell r="B36">
            <v>0.98705764661748152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0.92611513107251331</v>
          </cell>
        </row>
        <row r="28">
          <cell r="B28">
            <v>0.97001174858037986</v>
          </cell>
        </row>
        <row r="31">
          <cell r="B31">
            <v>0.97001499250374812</v>
          </cell>
        </row>
        <row r="35">
          <cell r="B35">
            <v>0.81598141095978827</v>
          </cell>
        </row>
        <row r="36">
          <cell r="B36">
            <v>0.9412099087353325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0.93372250019855452</v>
          </cell>
        </row>
        <row r="28">
          <cell r="B28">
            <v>0.97974503620130593</v>
          </cell>
        </row>
        <row r="31">
          <cell r="B31">
            <v>1.0201758923952406</v>
          </cell>
        </row>
        <row r="35">
          <cell r="B35">
            <v>0.87758130332632622</v>
          </cell>
        </row>
        <row r="36">
          <cell r="B36">
            <v>0.95065933023432314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0.99385245901639341</v>
          </cell>
        </row>
        <row r="28">
          <cell r="B28">
            <v>0.98029053788771103</v>
          </cell>
        </row>
        <row r="31">
          <cell r="B31">
            <v>1.1877256317689531</v>
          </cell>
        </row>
        <row r="35">
          <cell r="B35">
            <v>0.68599562363238509</v>
          </cell>
        </row>
        <row r="36">
          <cell r="B36">
            <v>0.97126416112210034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0.93810078101531991</v>
          </cell>
        </row>
        <row r="28">
          <cell r="B28">
            <v>0.95892894602775036</v>
          </cell>
        </row>
        <row r="31">
          <cell r="B31">
            <v>0.7994031830238727</v>
          </cell>
        </row>
        <row r="35">
          <cell r="B35">
            <v>0.8218727998122507</v>
          </cell>
        </row>
        <row r="36">
          <cell r="B36">
            <v>0.93795803557853119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0.9447492737889146</v>
          </cell>
        </row>
        <row r="28">
          <cell r="B28">
            <v>0.99031439772465213</v>
          </cell>
        </row>
        <row r="31">
          <cell r="B31">
            <v>0.97763280521901208</v>
          </cell>
        </row>
        <row r="35">
          <cell r="B35">
            <v>0.78352044058462189</v>
          </cell>
        </row>
        <row r="36">
          <cell r="B36">
            <v>0.95172476590836663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0.97127263840994871</v>
          </cell>
        </row>
        <row r="28">
          <cell r="B28">
            <v>0.99704812608718574</v>
          </cell>
        </row>
        <row r="31">
          <cell r="B31">
            <v>1.1000000000000001</v>
          </cell>
        </row>
        <row r="35">
          <cell r="B35">
            <v>0.86672589960017765</v>
          </cell>
        </row>
        <row r="36">
          <cell r="B36">
            <v>0.98286817340947474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0.97736057426835998</v>
          </cell>
        </row>
        <row r="28">
          <cell r="B28">
            <v>0.97576547231270361</v>
          </cell>
        </row>
        <row r="31">
          <cell r="B31">
            <v>1.0714285714285714</v>
          </cell>
        </row>
        <row r="35">
          <cell r="B35">
            <v>0.66195652173913044</v>
          </cell>
        </row>
        <row r="36">
          <cell r="B36">
            <v>0.95773166970419177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0.97066842154742883</v>
          </cell>
        </row>
        <row r="28">
          <cell r="B28">
            <v>0.98894149504259421</v>
          </cell>
        </row>
        <row r="31">
          <cell r="B31">
            <v>0.98177826564215143</v>
          </cell>
        </row>
        <row r="35">
          <cell r="B35">
            <v>0.8131176999101527</v>
          </cell>
        </row>
        <row r="36">
          <cell r="B36">
            <v>0.97200269918979021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0.95193708127002619</v>
          </cell>
        </row>
        <row r="28">
          <cell r="B28">
            <v>0.94027107741787275</v>
          </cell>
        </row>
        <row r="31">
          <cell r="B31">
            <v>0.81560283687943258</v>
          </cell>
        </row>
        <row r="35">
          <cell r="B35">
            <v>0.72154963680387407</v>
          </cell>
        </row>
        <row r="36">
          <cell r="B36">
            <v>0.93213429256594726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0.93510381725944614</v>
          </cell>
        </row>
        <row r="28">
          <cell r="B28">
            <v>0.95827605860461995</v>
          </cell>
        </row>
        <row r="31">
          <cell r="B31">
            <v>1.1242603550295858</v>
          </cell>
        </row>
        <row r="35">
          <cell r="B35">
            <v>0.80919340849956634</v>
          </cell>
        </row>
        <row r="36">
          <cell r="B36">
            <v>0.94460586654016443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1.0034393809114359</v>
          </cell>
        </row>
        <row r="28">
          <cell r="B28">
            <v>0.99750384024577576</v>
          </cell>
        </row>
        <row r="31">
          <cell r="B31">
            <v>1.6712328767123288</v>
          </cell>
        </row>
        <row r="35">
          <cell r="B35">
            <v>0.71144278606965172</v>
          </cell>
        </row>
        <row r="36">
          <cell r="B36">
            <v>0.99794483504597076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0.95479249901018604</v>
          </cell>
        </row>
        <row r="28">
          <cell r="B28">
            <v>0.9260959914197614</v>
          </cell>
        </row>
        <row r="31">
          <cell r="B31">
            <v>1.1806208842897461</v>
          </cell>
        </row>
        <row r="35">
          <cell r="B35">
            <v>0.92547864506627397</v>
          </cell>
        </row>
        <row r="36">
          <cell r="B36">
            <v>0.94326401082526534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0.95055628889307942</v>
          </cell>
        </row>
        <row r="28">
          <cell r="B28">
            <v>0.96940863094012164</v>
          </cell>
        </row>
        <row r="31">
          <cell r="B31">
            <v>1.1901126169116243</v>
          </cell>
        </row>
        <row r="35">
          <cell r="B35">
            <v>0.81162899942585731</v>
          </cell>
        </row>
        <row r="36">
          <cell r="B36">
            <v>0.95498207411568392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0.92073549992225157</v>
          </cell>
        </row>
        <row r="28">
          <cell r="B28">
            <v>0.97644734842729064</v>
          </cell>
        </row>
        <row r="31">
          <cell r="B31">
            <v>1.0985010706638116</v>
          </cell>
        </row>
        <row r="35">
          <cell r="B35">
            <v>0.78352749932267673</v>
          </cell>
        </row>
        <row r="36">
          <cell r="B36">
            <v>0.93589794777609203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0.96095628172023861</v>
          </cell>
        </row>
        <row r="28">
          <cell r="B28">
            <v>0.96187735110707162</v>
          </cell>
        </row>
        <row r="31">
          <cell r="B31">
            <v>1.1624834874504624</v>
          </cell>
        </row>
        <row r="35">
          <cell r="B35">
            <v>0.76359357247200133</v>
          </cell>
        </row>
        <row r="36">
          <cell r="B36">
            <v>0.93970661488883689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0.93122518434486667</v>
          </cell>
        </row>
        <row r="28">
          <cell r="B28">
            <v>0.91134475597092424</v>
          </cell>
        </row>
        <row r="31">
          <cell r="B31">
            <v>0.98765432098765427</v>
          </cell>
        </row>
        <row r="35">
          <cell r="B35">
            <v>0.70523415977961434</v>
          </cell>
        </row>
        <row r="36">
          <cell r="B36">
            <v>0.90766281155297168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0.898822560724578</v>
          </cell>
        </row>
        <row r="28">
          <cell r="B28">
            <v>0.96322616114516091</v>
          </cell>
        </row>
        <row r="31">
          <cell r="B31">
            <v>1.0126067507116714</v>
          </cell>
        </row>
        <row r="35">
          <cell r="B35">
            <v>1.2072107377290096</v>
          </cell>
        </row>
        <row r="36">
          <cell r="B36">
            <v>0.95262118169499277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1.0414128108019101</v>
          </cell>
        </row>
        <row r="28">
          <cell r="B28">
            <v>1.00508618253744</v>
          </cell>
        </row>
        <row r="31">
          <cell r="B31">
            <v>1.1277561608300908</v>
          </cell>
        </row>
        <row r="35">
          <cell r="B35">
            <v>0.93701675257731953</v>
          </cell>
        </row>
        <row r="36">
          <cell r="B36">
            <v>1.0167175197900442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0.95350803043110732</v>
          </cell>
        </row>
        <row r="28">
          <cell r="B28">
            <v>0.9835730700485148</v>
          </cell>
        </row>
        <row r="31">
          <cell r="B31">
            <v>0.77191129883843712</v>
          </cell>
        </row>
        <row r="35">
          <cell r="B35">
            <v>0.93079470198675496</v>
          </cell>
        </row>
        <row r="36">
          <cell r="B36">
            <v>0.95165719992509834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0.96067857544096169</v>
          </cell>
        </row>
        <row r="28">
          <cell r="B28">
            <v>0.96464188576609244</v>
          </cell>
        </row>
        <row r="31">
          <cell r="B31">
            <v>0.88696537678207743</v>
          </cell>
        </row>
        <row r="35">
          <cell r="B35">
            <v>0.90247989276139406</v>
          </cell>
        </row>
        <row r="36">
          <cell r="B36">
            <v>0.95621067586766795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0.97439183205709223</v>
          </cell>
        </row>
        <row r="28">
          <cell r="B28">
            <v>1.0194471023300318</v>
          </cell>
        </row>
        <row r="31">
          <cell r="B31">
            <v>0.91383975026014563</v>
          </cell>
        </row>
        <row r="35">
          <cell r="B35">
            <v>0.83744821872410935</v>
          </cell>
        </row>
        <row r="36">
          <cell r="B36">
            <v>0.98873581599793769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1.0459629500174763</v>
          </cell>
        </row>
        <row r="28">
          <cell r="B28">
            <v>0.98268586077696707</v>
          </cell>
        </row>
        <row r="31">
          <cell r="B31">
            <v>1.077022933794894</v>
          </cell>
        </row>
        <row r="35">
          <cell r="B35">
            <v>0.67881625146296609</v>
          </cell>
        </row>
        <row r="36">
          <cell r="B36">
            <v>0.98882507982085843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0.92886900169726894</v>
          </cell>
        </row>
        <row r="28">
          <cell r="B28">
            <v>0.93634155694746257</v>
          </cell>
        </row>
        <row r="31">
          <cell r="B31">
            <v>0.98826979472140764</v>
          </cell>
        </row>
        <row r="35">
          <cell r="B35">
            <v>0.68211920529801329</v>
          </cell>
        </row>
        <row r="36">
          <cell r="B36">
            <v>0.9242573283494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0.93020884607270937</v>
          </cell>
        </row>
        <row r="28">
          <cell r="B28">
            <v>0.98034155817796975</v>
          </cell>
        </row>
        <row r="31">
          <cell r="B31">
            <v>0.99617590822179736</v>
          </cell>
        </row>
        <row r="35">
          <cell r="B35">
            <v>0.89032258064516134</v>
          </cell>
        </row>
        <row r="36">
          <cell r="B36">
            <v>0.95457701227528546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0.87790204279565986</v>
          </cell>
        </row>
        <row r="28">
          <cell r="B28">
            <v>0.98585740307051783</v>
          </cell>
        </row>
        <row r="31">
          <cell r="B31">
            <v>0.86856875584658555</v>
          </cell>
        </row>
        <row r="35">
          <cell r="B35">
            <v>0.87376038595550787</v>
          </cell>
        </row>
        <row r="36">
          <cell r="B36">
            <v>0.93199648404701929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0.87872720311965336</v>
          </cell>
        </row>
        <row r="28">
          <cell r="B28">
            <v>0.98704352890754643</v>
          </cell>
        </row>
        <row r="31">
          <cell r="B31">
            <v>0.91642848976792046</v>
          </cell>
        </row>
        <row r="35">
          <cell r="B35">
            <v>0.95075174350149438</v>
          </cell>
        </row>
        <row r="36">
          <cell r="B36">
            <v>0.93902620565682671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0.94430206731590638</v>
          </cell>
        </row>
        <row r="28">
          <cell r="B28">
            <v>0.95024763619990993</v>
          </cell>
        </row>
        <row r="31">
          <cell r="B31">
            <v>0.9854586129753915</v>
          </cell>
        </row>
        <row r="35">
          <cell r="B35">
            <v>0.91776798825256978</v>
          </cell>
        </row>
        <row r="36">
          <cell r="B36">
            <v>0.94610347926563099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0.88422011187719529</v>
          </cell>
        </row>
        <row r="28">
          <cell r="B28">
            <v>0.92079114223526071</v>
          </cell>
        </row>
        <row r="31">
          <cell r="B31">
            <v>1.0110132158590308</v>
          </cell>
        </row>
        <row r="35">
          <cell r="B35">
            <v>0.92151675485008822</v>
          </cell>
        </row>
        <row r="36">
          <cell r="B36">
            <v>0.90872895877431714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1.0541650371529137</v>
          </cell>
        </row>
        <row r="28">
          <cell r="B28">
            <v>0.96384008148714029</v>
          </cell>
        </row>
        <row r="31">
          <cell r="B31">
            <v>0.94534412955465585</v>
          </cell>
        </row>
        <row r="35">
          <cell r="B35">
            <v>0.84170999422299253</v>
          </cell>
        </row>
        <row r="36">
          <cell r="B36">
            <v>0.99516155045427668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0.94561065832606539</v>
          </cell>
        </row>
        <row r="28">
          <cell r="B28">
            <v>0.98012395811070741</v>
          </cell>
        </row>
        <row r="31">
          <cell r="B31">
            <v>0.94401933145388639</v>
          </cell>
        </row>
        <row r="35">
          <cell r="B35">
            <v>0.85003536901674137</v>
          </cell>
        </row>
        <row r="36">
          <cell r="B36">
            <v>0.95791268081162495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0.96272000573538374</v>
          </cell>
        </row>
        <row r="28">
          <cell r="B28">
            <v>0.97592418177537088</v>
          </cell>
        </row>
        <row r="31">
          <cell r="B31">
            <v>1.0897782585181179</v>
          </cell>
        </row>
        <row r="35">
          <cell r="B35">
            <v>0.82945344129554655</v>
          </cell>
        </row>
        <row r="36">
          <cell r="B36">
            <v>0.96503827171439549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0.93723057974839452</v>
          </cell>
        </row>
        <row r="28">
          <cell r="B28">
            <v>1.0023149026602407</v>
          </cell>
        </row>
        <row r="31">
          <cell r="B31">
            <v>0.80055401662049863</v>
          </cell>
        </row>
        <row r="35">
          <cell r="B35">
            <v>0.95980861244019133</v>
          </cell>
        </row>
        <row r="36">
          <cell r="B36">
            <v>0.96795677541601788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0.92382742570712495</v>
          </cell>
        </row>
        <row r="28">
          <cell r="B28">
            <v>1.009495217482371</v>
          </cell>
        </row>
        <row r="31">
          <cell r="B31">
            <v>1.0759974667511083</v>
          </cell>
        </row>
        <row r="35">
          <cell r="B35">
            <v>0.66335630320227001</v>
          </cell>
        </row>
        <row r="36">
          <cell r="B36">
            <v>0.9635227751461658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0.96528031576639139</v>
          </cell>
        </row>
        <row r="28">
          <cell r="B28">
            <v>0.98112703471175311</v>
          </cell>
        </row>
        <row r="31">
          <cell r="B31">
            <v>1.0111754966887416</v>
          </cell>
        </row>
        <row r="35">
          <cell r="B35">
            <v>0.98316118392500651</v>
          </cell>
        </row>
        <row r="36">
          <cell r="B36">
            <v>0.97475715324126078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0.93387603541845188</v>
          </cell>
        </row>
        <row r="28">
          <cell r="B28">
            <v>0.98676553407171019</v>
          </cell>
        </row>
        <row r="31">
          <cell r="B31">
            <v>1.0453648915187377</v>
          </cell>
        </row>
        <row r="35">
          <cell r="B35">
            <v>0.63002461033634127</v>
          </cell>
        </row>
        <row r="36">
          <cell r="B36">
            <v>0.94675472087503865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0.93472449771492627</v>
          </cell>
        </row>
        <row r="28">
          <cell r="B28">
            <v>1.001743970315399</v>
          </cell>
        </row>
        <row r="31">
          <cell r="B31">
            <v>1.0657578187650361</v>
          </cell>
        </row>
        <row r="35">
          <cell r="B35">
            <v>0.92728237791932056</v>
          </cell>
        </row>
        <row r="36">
          <cell r="B36">
            <v>0.97471880135743705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1.0188629584137567</v>
          </cell>
        </row>
        <row r="28">
          <cell r="B28">
            <v>1.004312159709619</v>
          </cell>
        </row>
        <row r="31">
          <cell r="B31">
            <v>1.0158699059561129</v>
          </cell>
        </row>
        <row r="35">
          <cell r="B35">
            <v>0.75314717326619363</v>
          </cell>
        </row>
        <row r="36">
          <cell r="B36">
            <v>0.99371875304505553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0.91045526955646849</v>
          </cell>
        </row>
        <row r="28">
          <cell r="B28">
            <v>0.9996049616812831</v>
          </cell>
        </row>
        <row r="31">
          <cell r="B31">
            <v>1.3037974683544304</v>
          </cell>
        </row>
        <row r="35">
          <cell r="B35">
            <v>0.84022556390977443</v>
          </cell>
        </row>
        <row r="36">
          <cell r="B36">
            <v>0.95433706216761416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0.91244279610471291</v>
          </cell>
        </row>
        <row r="28">
          <cell r="B28">
            <v>0.95408758350121936</v>
          </cell>
        </row>
        <row r="31">
          <cell r="B31">
            <v>1.1401869158878504</v>
          </cell>
        </row>
        <row r="35">
          <cell r="B35">
            <v>1.103203781512605</v>
          </cell>
        </row>
        <row r="36">
          <cell r="B36">
            <v>0.94356321625587403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0.95067485762970272</v>
          </cell>
        </row>
        <row r="28">
          <cell r="B28">
            <v>0.99200199950012502</v>
          </cell>
        </row>
        <row r="31">
          <cell r="B31">
            <v>1.0955534531693472</v>
          </cell>
        </row>
        <row r="35">
          <cell r="B35">
            <v>0.90608899297423884</v>
          </cell>
        </row>
        <row r="36">
          <cell r="B36">
            <v>0.97437925296162653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0.9309932338977982</v>
          </cell>
        </row>
        <row r="28">
          <cell r="B28">
            <v>0.98403159340659341</v>
          </cell>
        </row>
        <row r="31">
          <cell r="B31">
            <v>0.94840116279069764</v>
          </cell>
        </row>
        <row r="35">
          <cell r="B35">
            <v>0.92903045543447893</v>
          </cell>
        </row>
        <row r="36">
          <cell r="B36">
            <v>0.95905476369092268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0.94055663726949945</v>
          </cell>
        </row>
        <row r="28">
          <cell r="B28">
            <v>0.99629317607413648</v>
          </cell>
        </row>
        <row r="31">
          <cell r="B31">
            <v>0.91315789473684206</v>
          </cell>
        </row>
        <row r="35">
          <cell r="B35">
            <v>0.8820224719101124</v>
          </cell>
        </row>
        <row r="36">
          <cell r="B36">
            <v>0.96794842485483057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0.99761164606869357</v>
          </cell>
        </row>
        <row r="28">
          <cell r="B28">
            <v>0.99765295358649786</v>
          </cell>
        </row>
        <row r="31">
          <cell r="B31">
            <v>1.0663232453316163</v>
          </cell>
        </row>
        <row r="35">
          <cell r="B35">
            <v>0.7681312863949179</v>
          </cell>
        </row>
        <row r="36">
          <cell r="B36">
            <v>0.98671530540435737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1.0056535030780183</v>
          </cell>
        </row>
        <row r="28">
          <cell r="B28">
            <v>1.0003325988442191</v>
          </cell>
        </row>
        <row r="31">
          <cell r="B31">
            <v>1.2732123799359658</v>
          </cell>
        </row>
        <row r="35">
          <cell r="B35">
            <v>1.1337650736936131</v>
          </cell>
        </row>
        <row r="36">
          <cell r="B36">
            <v>1.0187077061502989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0.91895443925233644</v>
          </cell>
        </row>
        <row r="28">
          <cell r="B28">
            <v>0.96901046447585826</v>
          </cell>
        </row>
        <row r="31">
          <cell r="B31">
            <v>0.98974358974358978</v>
          </cell>
        </row>
        <row r="35">
          <cell r="B35">
            <v>0.681881051175657</v>
          </cell>
        </row>
        <row r="36">
          <cell r="B36">
            <v>0.93657609878693127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0.97437864375575334</v>
          </cell>
        </row>
        <row r="28">
          <cell r="B28">
            <v>0.963542562338779</v>
          </cell>
        </row>
        <row r="31">
          <cell r="B31">
            <v>1.3501440922190202</v>
          </cell>
        </row>
        <row r="35">
          <cell r="B35">
            <v>0.95607613469985364</v>
          </cell>
        </row>
        <row r="36">
          <cell r="B36">
            <v>0.97792695829836918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0.94228731692115919</v>
          </cell>
        </row>
        <row r="28">
          <cell r="B28">
            <v>0.99098802789106699</v>
          </cell>
        </row>
        <row r="31">
          <cell r="B31">
            <v>1.0980615735461801</v>
          </cell>
        </row>
        <row r="35">
          <cell r="B35">
            <v>1.0236667718523194</v>
          </cell>
        </row>
        <row r="36">
          <cell r="B36">
            <v>0.97444252401326037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0.91914700669149063</v>
          </cell>
        </row>
        <row r="28">
          <cell r="B28">
            <v>1.0134048942559581</v>
          </cell>
        </row>
        <row r="31">
          <cell r="B31">
            <v>0.95780376207422468</v>
          </cell>
        </row>
        <row r="35">
          <cell r="B35">
            <v>0.95027325094776227</v>
          </cell>
        </row>
        <row r="36">
          <cell r="B36">
            <v>0.96645380982635232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0.99046731253676024</v>
          </cell>
        </row>
        <row r="28">
          <cell r="B28">
            <v>1.0008381081762108</v>
          </cell>
        </row>
        <row r="31">
          <cell r="B31">
            <v>0.75307765151515149</v>
          </cell>
        </row>
        <row r="35">
          <cell r="B35">
            <v>0.92171942594245693</v>
          </cell>
        </row>
        <row r="36">
          <cell r="B36">
            <v>0.9867016599250531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1.0150527746681592</v>
          </cell>
        </row>
        <row r="28">
          <cell r="B28">
            <v>0.99408395406997074</v>
          </cell>
        </row>
        <row r="31">
          <cell r="B31">
            <v>0.97118429385687144</v>
          </cell>
        </row>
        <row r="35">
          <cell r="B35">
            <v>0.96483329277196395</v>
          </cell>
        </row>
        <row r="36">
          <cell r="B36">
            <v>0.99950653291499114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0.87026074791777308</v>
          </cell>
        </row>
        <row r="28">
          <cell r="B28">
            <v>0.98169432524082467</v>
          </cell>
        </row>
        <row r="31">
          <cell r="B31">
            <v>1.0063873275421564</v>
          </cell>
        </row>
        <row r="35">
          <cell r="B35">
            <v>0.90198823858863064</v>
          </cell>
        </row>
        <row r="36">
          <cell r="B36">
            <v>0.93289258956083776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0.9346574162245499</v>
          </cell>
        </row>
        <row r="28">
          <cell r="B28">
            <v>0.99358151476251599</v>
          </cell>
        </row>
        <row r="31">
          <cell r="B31">
            <v>0.95884773662551437</v>
          </cell>
        </row>
        <row r="35">
          <cell r="B35">
            <v>0.96072013093289688</v>
          </cell>
        </row>
        <row r="36">
          <cell r="B36">
            <v>0.96969449436366606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0.975886524822695</v>
          </cell>
        </row>
        <row r="28">
          <cell r="B28">
            <v>1.0134535888763623</v>
          </cell>
        </row>
        <row r="31">
          <cell r="B31">
            <v>0.94830132939438705</v>
          </cell>
        </row>
        <row r="35">
          <cell r="B35">
            <v>0.9983866630814735</v>
          </cell>
        </row>
        <row r="36">
          <cell r="B36">
            <v>0.99254039391437665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0.97780603936287358</v>
          </cell>
        </row>
        <row r="28">
          <cell r="B28">
            <v>0.9815965409490589</v>
          </cell>
        </row>
        <row r="31">
          <cell r="B31">
            <v>0.84075573549257765</v>
          </cell>
        </row>
        <row r="35">
          <cell r="B35">
            <v>0.99630086313193589</v>
          </cell>
        </row>
        <row r="36">
          <cell r="B36">
            <v>0.97702756243972821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1.0657584490437517</v>
          </cell>
        </row>
        <row r="28">
          <cell r="B28">
            <v>0.96756102925005494</v>
          </cell>
        </row>
        <row r="31">
          <cell r="B31">
            <v>1.1137254901960785</v>
          </cell>
        </row>
        <row r="35">
          <cell r="B35">
            <v>0.84548335974643418</v>
          </cell>
        </row>
        <row r="36">
          <cell r="B36">
            <v>1.002247191011236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1.0020213181689552</v>
          </cell>
        </row>
        <row r="28">
          <cell r="B28">
            <v>0.99830149707242966</v>
          </cell>
        </row>
        <row r="31">
          <cell r="B31">
            <v>1.1561151079136691</v>
          </cell>
        </row>
        <row r="35">
          <cell r="B35">
            <v>0.85853764374050767</v>
          </cell>
        </row>
        <row r="36">
          <cell r="B36">
            <v>0.98954310470536766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0.9564042832253391</v>
          </cell>
        </row>
        <row r="28">
          <cell r="B28">
            <v>1.011730946236171</v>
          </cell>
        </row>
        <row r="31">
          <cell r="B31">
            <v>1.1178743961352657</v>
          </cell>
        </row>
        <row r="35">
          <cell r="B35">
            <v>0.94538288288288286</v>
          </cell>
        </row>
        <row r="36">
          <cell r="B36">
            <v>0.98452001839205738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0.9762725613465828</v>
          </cell>
        </row>
        <row r="28">
          <cell r="B28">
            <v>0.9861704970603955</v>
          </cell>
        </row>
        <row r="31">
          <cell r="B31">
            <v>1.0183276059564719</v>
          </cell>
        </row>
        <row r="35">
          <cell r="B35">
            <v>0.78366111951588502</v>
          </cell>
        </row>
        <row r="36">
          <cell r="B36">
            <v>0.97023024803016833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0.94228409878913955</v>
          </cell>
        </row>
        <row r="28">
          <cell r="B28">
            <v>0.99355939106970115</v>
          </cell>
        </row>
        <row r="31">
          <cell r="B31">
            <v>0.90941898231685314</v>
          </cell>
        </row>
        <row r="35">
          <cell r="B35">
            <v>0.82469793159942661</v>
          </cell>
        </row>
        <row r="36">
          <cell r="B36">
            <v>0.96121268884635747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0.97745369206269384</v>
          </cell>
        </row>
        <row r="28">
          <cell r="B28">
            <v>1.0099918561673871</v>
          </cell>
        </row>
        <row r="31">
          <cell r="B31">
            <v>1.0181818181818181</v>
          </cell>
        </row>
        <row r="35">
          <cell r="B35">
            <v>0.86727646070561881</v>
          </cell>
        </row>
        <row r="36">
          <cell r="B36">
            <v>0.98415583016988395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0.90979834889700906</v>
          </cell>
        </row>
        <row r="28">
          <cell r="B28">
            <v>1.0505598442172612</v>
          </cell>
        </row>
        <row r="31">
          <cell r="B31">
            <v>1.0909090909090908</v>
          </cell>
        </row>
        <row r="35">
          <cell r="B35">
            <v>1.2025931928687197</v>
          </cell>
        </row>
        <row r="36">
          <cell r="B36">
            <v>0.99433185560481319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0.98646125116713357</v>
          </cell>
        </row>
        <row r="28">
          <cell r="B28">
            <v>0.98809523809523814</v>
          </cell>
        </row>
        <row r="31">
          <cell r="B31">
            <v>1.0916905444126075</v>
          </cell>
        </row>
        <row r="35">
          <cell r="B35">
            <v>0.82996432818073718</v>
          </cell>
        </row>
        <row r="36">
          <cell r="B36">
            <v>0.98128647551382897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0.97241574387394847</v>
          </cell>
        </row>
        <row r="28">
          <cell r="B28">
            <v>1.0157029536858526</v>
          </cell>
        </row>
        <row r="31">
          <cell r="B31">
            <v>1.1650076569678407</v>
          </cell>
        </row>
        <row r="35">
          <cell r="B35">
            <v>0.84042179261862915</v>
          </cell>
        </row>
        <row r="36">
          <cell r="B36">
            <v>0.992396331738437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0.976566757493188</v>
          </cell>
        </row>
        <row r="28">
          <cell r="B28">
            <v>0.97315966054864811</v>
          </cell>
        </row>
        <row r="31">
          <cell r="B31">
            <v>0.46408839779005523</v>
          </cell>
        </row>
        <row r="35">
          <cell r="B35">
            <v>1.0652173913043479</v>
          </cell>
        </row>
        <row r="36">
          <cell r="B36">
            <v>0.96918319471102576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0.93935041701312771</v>
          </cell>
        </row>
        <row r="28">
          <cell r="B28">
            <v>1.0038569159797324</v>
          </cell>
        </row>
        <row r="31">
          <cell r="B31">
            <v>0.99264705882352944</v>
          </cell>
        </row>
        <row r="35">
          <cell r="B35">
            <v>0.88455103179029559</v>
          </cell>
        </row>
        <row r="36">
          <cell r="B36">
            <v>0.97520801191442308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0.96469939327082188</v>
          </cell>
        </row>
        <row r="28">
          <cell r="B28">
            <v>0.99614705410178195</v>
          </cell>
        </row>
        <row r="31">
          <cell r="B31">
            <v>0.73317307692307687</v>
          </cell>
        </row>
        <row r="35">
          <cell r="B35">
            <v>0.62593984962406013</v>
          </cell>
        </row>
        <row r="36">
          <cell r="B36">
            <v>0.95723410163843381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0.90494739747875963</v>
          </cell>
        </row>
        <row r="28">
          <cell r="B28">
            <v>0.94617337900082676</v>
          </cell>
        </row>
        <row r="31">
          <cell r="B31">
            <v>0.81212524983344436</v>
          </cell>
        </row>
        <row r="35">
          <cell r="B35">
            <v>0.96624136097820312</v>
          </cell>
        </row>
        <row r="36">
          <cell r="B36">
            <v>0.92568377617308384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0.94181941322266416</v>
          </cell>
        </row>
        <row r="28">
          <cell r="B28">
            <v>0.99287147026676437</v>
          </cell>
        </row>
        <row r="31">
          <cell r="B31">
            <v>1.3019094872951436</v>
          </cell>
        </row>
        <row r="35">
          <cell r="B35">
            <v>0.93269537480063791</v>
          </cell>
        </row>
        <row r="36">
          <cell r="B36">
            <v>0.97424168674625944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1.0098629926699159</v>
          </cell>
        </row>
        <row r="28">
          <cell r="B28">
            <v>1.0200544274649361</v>
          </cell>
        </row>
        <row r="31">
          <cell r="B31">
            <v>0.81470588235294117</v>
          </cell>
        </row>
        <row r="35">
          <cell r="B35">
            <v>0.9539612058892265</v>
          </cell>
        </row>
        <row r="36">
          <cell r="B36">
            <v>1.0051636350551447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0.95728850923119313</v>
          </cell>
        </row>
        <row r="28">
          <cell r="B28">
            <v>1.0034268675315428</v>
          </cell>
        </row>
        <row r="31">
          <cell r="B31">
            <v>1.5111464968152866</v>
          </cell>
        </row>
        <row r="35">
          <cell r="B35">
            <v>0.96951894423158791</v>
          </cell>
        </row>
        <row r="36">
          <cell r="B36">
            <v>0.98709931062226852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0.92835746380429351</v>
          </cell>
        </row>
        <row r="28">
          <cell r="B28">
            <v>0.96936814739459709</v>
          </cell>
        </row>
        <row r="31">
          <cell r="B31">
            <v>1.2560240963855422</v>
          </cell>
        </row>
        <row r="35">
          <cell r="B35">
            <v>0.82626427406199021</v>
          </cell>
        </row>
        <row r="36">
          <cell r="B36">
            <v>0.94716837704294943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0.95154926613709301</v>
          </cell>
        </row>
        <row r="28">
          <cell r="B28">
            <v>0.94752986761381985</v>
          </cell>
        </row>
        <row r="31">
          <cell r="B31">
            <v>0.8378076062639821</v>
          </cell>
        </row>
        <row r="35">
          <cell r="B35">
            <v>0.91875662310137762</v>
          </cell>
        </row>
        <row r="36">
          <cell r="B36">
            <v>0.94503340110368861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0.90843646364151098</v>
          </cell>
        </row>
        <row r="28">
          <cell r="B28">
            <v>0.97224494742902157</v>
          </cell>
        </row>
        <row r="31">
          <cell r="B31">
            <v>0.89720930232558138</v>
          </cell>
        </row>
        <row r="35">
          <cell r="B35">
            <v>0.88048533872598589</v>
          </cell>
        </row>
        <row r="36">
          <cell r="B36">
            <v>0.93841786992471921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1.0165603883125536</v>
          </cell>
        </row>
        <row r="28">
          <cell r="B28">
            <v>1.0178055675044553</v>
          </cell>
        </row>
        <row r="31">
          <cell r="B31">
            <v>0.87700780174391924</v>
          </cell>
        </row>
        <row r="35">
          <cell r="B35">
            <v>0.9233217592592593</v>
          </cell>
        </row>
        <row r="36">
          <cell r="B36">
            <v>1.0090955245200541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0.96467806980948412</v>
          </cell>
        </row>
        <row r="28">
          <cell r="B28">
            <v>1.025407005426739</v>
          </cell>
        </row>
        <row r="31">
          <cell r="B31">
            <v>1.5626865671641792</v>
          </cell>
        </row>
        <row r="35">
          <cell r="B35">
            <v>0.98230690711126234</v>
          </cell>
        </row>
        <row r="36">
          <cell r="B36">
            <v>1.0279427174292699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0.88605632055576233</v>
          </cell>
        </row>
        <row r="28">
          <cell r="B28">
            <v>0.95557318524395085</v>
          </cell>
        </row>
        <row r="31">
          <cell r="B31">
            <v>0.90167865707434047</v>
          </cell>
        </row>
        <row r="35">
          <cell r="B35">
            <v>0.96532012195121952</v>
          </cell>
        </row>
        <row r="36">
          <cell r="B36">
            <v>0.92494694710828163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0.92892943627865066</v>
          </cell>
        </row>
        <row r="28">
          <cell r="B28">
            <v>1.0153131333951699</v>
          </cell>
        </row>
        <row r="31">
          <cell r="B31">
            <v>0.95463709677419351</v>
          </cell>
        </row>
        <row r="35">
          <cell r="B35">
            <v>0.91172692237107722</v>
          </cell>
        </row>
        <row r="36">
          <cell r="B36">
            <v>0.97415403543529688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0.91901573878318066</v>
          </cell>
        </row>
        <row r="28">
          <cell r="B28">
            <v>1.0133135227072785</v>
          </cell>
        </row>
        <row r="31">
          <cell r="B31">
            <v>1.0763535400277648</v>
          </cell>
        </row>
        <row r="35">
          <cell r="B35">
            <v>1</v>
          </cell>
        </row>
        <row r="36">
          <cell r="B36">
            <v>0.97941806516895058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0.95250582750582746</v>
          </cell>
        </row>
        <row r="28">
          <cell r="B28">
            <v>0.92644159684573679</v>
          </cell>
        </row>
        <row r="31">
          <cell r="B31">
            <v>0.90384615384615385</v>
          </cell>
        </row>
        <row r="35">
          <cell r="B35">
            <v>0.93548387096774188</v>
          </cell>
        </row>
        <row r="36">
          <cell r="B36">
            <v>0.93748046264457641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0.88124401259066654</v>
          </cell>
        </row>
        <row r="28">
          <cell r="B28">
            <v>0.99354510952395181</v>
          </cell>
        </row>
        <row r="31">
          <cell r="B31">
            <v>1.037525354969574</v>
          </cell>
        </row>
        <row r="35">
          <cell r="B35">
            <v>0.96483516483516485</v>
          </cell>
        </row>
        <row r="36">
          <cell r="B36">
            <v>0.94387747522913978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0.86672607138653979</v>
          </cell>
        </row>
        <row r="28">
          <cell r="B28">
            <v>1.0091845217344668</v>
          </cell>
        </row>
        <row r="31">
          <cell r="B31">
            <v>0.83325761017719213</v>
          </cell>
        </row>
        <row r="35">
          <cell r="B35">
            <v>0.93726672408842948</v>
          </cell>
        </row>
        <row r="36">
          <cell r="B36">
            <v>0.9438238333286787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0.87638920134983123</v>
          </cell>
        </row>
        <row r="28">
          <cell r="B28">
            <v>1.0088721781712882</v>
          </cell>
        </row>
        <row r="31">
          <cell r="B31">
            <v>1.0772613811957685</v>
          </cell>
        </row>
        <row r="35">
          <cell r="B35">
            <v>1.0271041369472182</v>
          </cell>
        </row>
        <row r="36">
          <cell r="B36">
            <v>0.95610244004559097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0.98594216203809959</v>
          </cell>
        </row>
        <row r="28">
          <cell r="B28">
            <v>0.98150719164769251</v>
          </cell>
        </row>
        <row r="31">
          <cell r="B31">
            <v>0.90179514255543824</v>
          </cell>
        </row>
        <row r="35">
          <cell r="B35">
            <v>0.84676544994578962</v>
          </cell>
        </row>
        <row r="36">
          <cell r="B36">
            <v>0.97202993690771156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0.99400981524249421</v>
          </cell>
        </row>
        <row r="28">
          <cell r="B28">
            <v>0.95728527814551645</v>
          </cell>
        </row>
        <row r="31">
          <cell r="B31">
            <v>0.91348448687350836</v>
          </cell>
        </row>
        <row r="35">
          <cell r="B35">
            <v>1.0739928747602083</v>
          </cell>
        </row>
        <row r="36">
          <cell r="B36">
            <v>0.97684511063526058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0.85894032090499828</v>
          </cell>
        </row>
        <row r="28">
          <cell r="B28">
            <v>0.96072354333370902</v>
          </cell>
        </row>
        <row r="31">
          <cell r="B31">
            <v>0.97887323943661975</v>
          </cell>
        </row>
        <row r="35">
          <cell r="B35">
            <v>1.0134064594759293</v>
          </cell>
        </row>
        <row r="36">
          <cell r="B36">
            <v>0.91577586903255337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0.89437134502923976</v>
          </cell>
        </row>
        <row r="28">
          <cell r="B28">
            <v>1.0098334636794406</v>
          </cell>
        </row>
        <row r="31">
          <cell r="B31">
            <v>0.92057117358322182</v>
          </cell>
        </row>
        <row r="35">
          <cell r="B35">
            <v>0.87170821011125199</v>
          </cell>
        </row>
        <row r="36">
          <cell r="B36">
            <v>0.95531544344074104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0.9200233281493001</v>
          </cell>
        </row>
        <row r="28">
          <cell r="B28">
            <v>1.0243449116392445</v>
          </cell>
        </row>
        <row r="31">
          <cell r="B31">
            <v>1.1707677165354331</v>
          </cell>
        </row>
        <row r="35">
          <cell r="B35">
            <v>0.86699875466998755</v>
          </cell>
        </row>
        <row r="36">
          <cell r="B36">
            <v>0.97762707665629311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0.89332617292388805</v>
          </cell>
        </row>
        <row r="28">
          <cell r="B28">
            <v>0.99444688002338155</v>
          </cell>
        </row>
        <row r="31">
          <cell r="B31">
            <v>1.0102622576966933</v>
          </cell>
        </row>
        <row r="35">
          <cell r="B35">
            <v>1.0495014245014245</v>
          </cell>
        </row>
        <row r="36">
          <cell r="B36">
            <v>0.95752813348855259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0.90091670952712311</v>
          </cell>
        </row>
        <row r="28">
          <cell r="B28">
            <v>1.0097904375836984</v>
          </cell>
        </row>
        <row r="31">
          <cell r="B31">
            <v>1.3346704871060171</v>
          </cell>
        </row>
        <row r="35">
          <cell r="B35">
            <v>0.80975938835169781</v>
          </cell>
        </row>
        <row r="36">
          <cell r="B36">
            <v>0.96829730273113024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0.82791855748765109</v>
          </cell>
        </row>
        <row r="28">
          <cell r="B28">
            <v>0.95570733303341382</v>
          </cell>
        </row>
        <row r="31">
          <cell r="B31">
            <v>0.88803746275010642</v>
          </cell>
        </row>
        <row r="35">
          <cell r="B35">
            <v>0.95362233938683849</v>
          </cell>
        </row>
        <row r="36">
          <cell r="B36">
            <v>0.8969046228491846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0.85191434133679433</v>
          </cell>
        </row>
        <row r="28">
          <cell r="B28">
            <v>0.94532163742690056</v>
          </cell>
        </row>
        <row r="31">
          <cell r="B31">
            <v>1.0023529411764707</v>
          </cell>
        </row>
        <row r="35">
          <cell r="B35">
            <v>0.86710963455149503</v>
          </cell>
        </row>
        <row r="36">
          <cell r="B36">
            <v>0.90502194549351844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0.9544047801440172</v>
          </cell>
        </row>
        <row r="28">
          <cell r="B28">
            <v>1.0132215096201282</v>
          </cell>
        </row>
        <row r="31">
          <cell r="B31">
            <v>1.1036682615629985</v>
          </cell>
        </row>
        <row r="35">
          <cell r="B35">
            <v>0.97270899166906066</v>
          </cell>
        </row>
        <row r="36">
          <cell r="B36">
            <v>0.99110682037594411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0.91187358916478556</v>
          </cell>
        </row>
        <row r="28">
          <cell r="B28">
            <v>0.99938155259747907</v>
          </cell>
        </row>
        <row r="31">
          <cell r="B31">
            <v>0.86377358490566036</v>
          </cell>
        </row>
        <row r="35">
          <cell r="B35">
            <v>0.95846051758460515</v>
          </cell>
        </row>
        <row r="36">
          <cell r="B36">
            <v>0.96016697721656652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0.78732601365954868</v>
          </cell>
        </row>
        <row r="28">
          <cell r="B28">
            <v>1.0017615971814444</v>
          </cell>
        </row>
        <row r="31">
          <cell r="B31">
            <v>0.96509598603839442</v>
          </cell>
        </row>
        <row r="35">
          <cell r="B35">
            <v>0.974390243902439</v>
          </cell>
        </row>
        <row r="36">
          <cell r="B36">
            <v>0.9026886113380802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0.96172603901611531</v>
          </cell>
        </row>
        <row r="28">
          <cell r="B28">
            <v>0.96577097974369575</v>
          </cell>
        </row>
        <row r="31">
          <cell r="B31">
            <v>1.0063897763578276</v>
          </cell>
        </row>
        <row r="35">
          <cell r="B35">
            <v>0.90666666666666662</v>
          </cell>
        </row>
        <row r="36">
          <cell r="B36">
            <v>0.96213017751479291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0.91632783030421794</v>
          </cell>
        </row>
        <row r="28">
          <cell r="B28">
            <v>0.99561173696620386</v>
          </cell>
        </row>
        <row r="31">
          <cell r="B31">
            <v>1.28542814221332</v>
          </cell>
        </row>
        <row r="35">
          <cell r="B35">
            <v>1.0661672908863919</v>
          </cell>
        </row>
        <row r="36">
          <cell r="B36">
            <v>0.98231813313199068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0.81293197869849299</v>
          </cell>
        </row>
        <row r="28">
          <cell r="B28">
            <v>1.0121676179869135</v>
          </cell>
        </row>
        <row r="31">
          <cell r="B31">
            <v>1.4549968963376785</v>
          </cell>
        </row>
        <row r="35">
          <cell r="B35">
            <v>1.0663098424026167</v>
          </cell>
        </row>
        <row r="36">
          <cell r="B36">
            <v>0.94715435085948396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0.91039381854436685</v>
          </cell>
        </row>
        <row r="28">
          <cell r="B28">
            <v>0.97922822096875284</v>
          </cell>
        </row>
        <row r="31">
          <cell r="B31">
            <v>0.90393013100436681</v>
          </cell>
        </row>
        <row r="35">
          <cell r="B35">
            <v>0.86296715741789354</v>
          </cell>
        </row>
        <row r="36">
          <cell r="B36">
            <v>0.94565111522353174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0.85746839164951483</v>
          </cell>
        </row>
        <row r="28">
          <cell r="B28">
            <v>1.030233565115509</v>
          </cell>
        </row>
        <row r="31">
          <cell r="B31">
            <v>1.1499760421657883</v>
          </cell>
        </row>
        <row r="35">
          <cell r="B35">
            <v>0.91663854201822481</v>
          </cell>
        </row>
        <row r="36">
          <cell r="B36">
            <v>0.96329646667319169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0.9007664562669071</v>
          </cell>
        </row>
        <row r="28">
          <cell r="B28">
            <v>1.013458110516934</v>
          </cell>
        </row>
        <row r="31">
          <cell r="B31">
            <v>1.2444029850746268</v>
          </cell>
        </row>
        <row r="35">
          <cell r="B35">
            <v>0.9531610521458237</v>
          </cell>
        </row>
        <row r="36">
          <cell r="B36">
            <v>0.9632191260544517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0.90550879877582247</v>
          </cell>
        </row>
        <row r="28">
          <cell r="B28">
            <v>0.98151475226574036</v>
          </cell>
        </row>
        <row r="31">
          <cell r="B31">
            <v>1.510204081632653</v>
          </cell>
        </row>
        <row r="35">
          <cell r="B35">
            <v>0.86729301233118028</v>
          </cell>
        </row>
        <row r="36">
          <cell r="B36">
            <v>0.95299098427183193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0.9443965179201631</v>
          </cell>
        </row>
        <row r="28">
          <cell r="B28">
            <v>0.99621612108412527</v>
          </cell>
        </row>
        <row r="31">
          <cell r="B31">
            <v>1.3196930946291561</v>
          </cell>
        </row>
        <row r="35">
          <cell r="B35">
            <v>1.049567985447931</v>
          </cell>
        </row>
        <row r="36">
          <cell r="B36">
            <v>0.98549601417183352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0.90753696357735303</v>
          </cell>
        </row>
        <row r="28">
          <cell r="B28">
            <v>0.9501527353512913</v>
          </cell>
        </row>
        <row r="31">
          <cell r="B31">
            <v>0.92455621301775148</v>
          </cell>
        </row>
        <row r="35">
          <cell r="B35">
            <v>0.84743589743589742</v>
          </cell>
        </row>
        <row r="36">
          <cell r="B36">
            <v>0.92119133011071264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0.92153193460689775</v>
          </cell>
        </row>
        <row r="28">
          <cell r="B28">
            <v>1.0346109399577927</v>
          </cell>
        </row>
        <row r="31">
          <cell r="B31">
            <v>0.9921235198998487</v>
          </cell>
        </row>
        <row r="35">
          <cell r="B35">
            <v>1.0139171227521502</v>
          </cell>
        </row>
        <row r="36">
          <cell r="B36">
            <v>0.98499329468738783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0.95098996714907214</v>
          </cell>
        </row>
        <row r="28">
          <cell r="B28">
            <v>1.0112835969233429</v>
          </cell>
        </row>
        <row r="31">
          <cell r="B31">
            <v>0.85671894870707932</v>
          </cell>
        </row>
        <row r="35">
          <cell r="B35">
            <v>0.9880402694724093</v>
          </cell>
        </row>
        <row r="36">
          <cell r="B36">
            <v>0.98816017433204295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1.0078316201664219</v>
          </cell>
        </row>
        <row r="28">
          <cell r="B28">
            <v>0.98575280186085856</v>
          </cell>
        </row>
        <row r="31">
          <cell r="B31">
            <v>1.1342512908777969</v>
          </cell>
        </row>
        <row r="35">
          <cell r="B35">
            <v>0.86576129537738311</v>
          </cell>
        </row>
        <row r="36">
          <cell r="B36">
            <v>0.99057752887644379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0.93197524795419717</v>
          </cell>
        </row>
        <row r="28">
          <cell r="B28">
            <v>0.97619238156209986</v>
          </cell>
        </row>
        <row r="31">
          <cell r="B31">
            <v>1.1909836065573771</v>
          </cell>
        </row>
        <row r="35">
          <cell r="B35">
            <v>1.0503709896540914</v>
          </cell>
        </row>
        <row r="36">
          <cell r="B36">
            <v>0.96762501165258308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0.96396972080220211</v>
          </cell>
        </row>
        <row r="28">
          <cell r="B28">
            <v>1.0199585357551753</v>
          </cell>
        </row>
        <row r="31">
          <cell r="B31">
            <v>1</v>
          </cell>
        </row>
        <row r="35">
          <cell r="B35">
            <v>0.96868773128380303</v>
          </cell>
        </row>
        <row r="36">
          <cell r="B36">
            <v>0.99654269250916705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0.84508713385242862</v>
          </cell>
        </row>
        <row r="28">
          <cell r="B28">
            <v>0.94712112171837703</v>
          </cell>
        </row>
        <row r="31">
          <cell r="B31">
            <v>0.81280788177339902</v>
          </cell>
        </row>
        <row r="35">
          <cell r="B35">
            <v>0.94605116796440492</v>
          </cell>
        </row>
        <row r="36">
          <cell r="B36">
            <v>0.90012219435333463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0.92086787010475935</v>
          </cell>
        </row>
        <row r="28">
          <cell r="B28">
            <v>1.0023146862211358</v>
          </cell>
        </row>
        <row r="31">
          <cell r="B31">
            <v>0.9620499513460915</v>
          </cell>
        </row>
        <row r="35">
          <cell r="B35">
            <v>0.94238535403392265</v>
          </cell>
        </row>
        <row r="36">
          <cell r="B36">
            <v>0.95715242983110727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0.76852193144120895</v>
          </cell>
        </row>
        <row r="28">
          <cell r="B28">
            <v>0.93975243728776425</v>
          </cell>
        </row>
        <row r="31">
          <cell r="B31">
            <v>0.83862433862433861</v>
          </cell>
        </row>
        <row r="35">
          <cell r="B35">
            <v>0.92957746478873238</v>
          </cell>
        </row>
        <row r="36">
          <cell r="B36">
            <v>0.86290064955808754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0.94035025597899058</v>
          </cell>
        </row>
        <row r="28">
          <cell r="B28">
            <v>0.99322438878696084</v>
          </cell>
        </row>
        <row r="31">
          <cell r="B31">
            <v>1.2450871338524285</v>
          </cell>
        </row>
        <row r="35">
          <cell r="B35">
            <v>0.96793692509855456</v>
          </cell>
        </row>
        <row r="36">
          <cell r="B36">
            <v>0.9770111543219917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0.82026002413534005</v>
          </cell>
        </row>
        <row r="28">
          <cell r="B28">
            <v>0.92931172978585841</v>
          </cell>
        </row>
        <row r="31">
          <cell r="B31">
            <v>0.80880448856279674</v>
          </cell>
        </row>
        <row r="35">
          <cell r="B35">
            <v>0.8611884303521723</v>
          </cell>
        </row>
        <row r="36">
          <cell r="B36">
            <v>0.87595224559408758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0.90822010869565217</v>
          </cell>
        </row>
        <row r="28">
          <cell r="B28">
            <v>0.99492055222714249</v>
          </cell>
        </row>
        <row r="31">
          <cell r="B31">
            <v>0.87664041994750652</v>
          </cell>
        </row>
        <row r="35">
          <cell r="B35">
            <v>0.84739387426114987</v>
          </cell>
        </row>
        <row r="36">
          <cell r="B36">
            <v>0.94473837120401238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0.87720408001897687</v>
          </cell>
        </row>
        <row r="28">
          <cell r="B28">
            <v>1.0045803304566099</v>
          </cell>
        </row>
        <row r="31">
          <cell r="B31">
            <v>0.83595691797845895</v>
          </cell>
        </row>
        <row r="35">
          <cell r="B35">
            <v>0.87996649114408809</v>
          </cell>
        </row>
        <row r="36">
          <cell r="B36">
            <v>0.94765768689819319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0.90279097387173401</v>
          </cell>
        </row>
        <row r="28">
          <cell r="B28">
            <v>1.0132229362333169</v>
          </cell>
        </row>
        <row r="31">
          <cell r="B31">
            <v>1.0033472803347281</v>
          </cell>
        </row>
        <row r="35">
          <cell r="B35">
            <v>0.9183194711025805</v>
          </cell>
        </row>
        <row r="36">
          <cell r="B36">
            <v>0.95516599010176273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0.96431175409647341</v>
          </cell>
        </row>
        <row r="28">
          <cell r="B28">
            <v>0.96000354735721882</v>
          </cell>
        </row>
        <row r="31">
          <cell r="B31">
            <v>1.0813333333333333</v>
          </cell>
        </row>
        <row r="35">
          <cell r="B35">
            <v>1.1538653990492869</v>
          </cell>
        </row>
        <row r="36">
          <cell r="B36">
            <v>0.97833502005322537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0.94812362030905073</v>
          </cell>
        </row>
        <row r="28">
          <cell r="B28">
            <v>1.0488107036669971</v>
          </cell>
        </row>
        <row r="31">
          <cell r="B31">
            <v>0.94011976047904189</v>
          </cell>
        </row>
        <row r="35">
          <cell r="B35">
            <v>0.84157160963244615</v>
          </cell>
        </row>
        <row r="36">
          <cell r="B36">
            <v>0.99426897605705555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0.89570192010075456</v>
          </cell>
        </row>
        <row r="28">
          <cell r="B28">
            <v>1.0198651116216058</v>
          </cell>
        </row>
        <row r="31">
          <cell r="B31">
            <v>1.236524247340905</v>
          </cell>
        </row>
        <row r="35">
          <cell r="B35">
            <v>0.92732641889945255</v>
          </cell>
        </row>
        <row r="36">
          <cell r="B36">
            <v>0.97280067486141242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0.93848857644991213</v>
          </cell>
        </row>
        <row r="28">
          <cell r="B28">
            <v>1.0167884653367569</v>
          </cell>
        </row>
        <row r="31">
          <cell r="B31">
            <v>0.82485875706214684</v>
          </cell>
        </row>
        <row r="35">
          <cell r="B35">
            <v>0.88911704312114992</v>
          </cell>
        </row>
        <row r="36">
          <cell r="B36">
            <v>0.97702658352477845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0.91965758265923192</v>
          </cell>
        </row>
        <row r="28">
          <cell r="B28">
            <v>1.0154187380497133</v>
          </cell>
        </row>
        <row r="31">
          <cell r="B31">
            <v>0.95282051282051283</v>
          </cell>
        </row>
        <row r="35">
          <cell r="B35">
            <v>0.95678246484698093</v>
          </cell>
        </row>
        <row r="36">
          <cell r="B36">
            <v>0.97882707866709329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1.0085043988269795</v>
          </cell>
        </row>
        <row r="28">
          <cell r="B28">
            <v>0.99239974126778785</v>
          </cell>
        </row>
        <row r="31">
          <cell r="B31">
            <v>0.76143790849673199</v>
          </cell>
        </row>
        <row r="35">
          <cell r="B35">
            <v>0.78026905829596416</v>
          </cell>
        </row>
        <row r="36">
          <cell r="B36">
            <v>0.98173207036535859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0.85158135399466528</v>
          </cell>
        </row>
        <row r="28">
          <cell r="B28">
            <v>1.0027912656645248</v>
          </cell>
        </row>
        <row r="31">
          <cell r="B31">
            <v>1.0163826998689385</v>
          </cell>
        </row>
        <row r="35">
          <cell r="B35">
            <v>0.81603117172279427</v>
          </cell>
        </row>
        <row r="36">
          <cell r="B36">
            <v>0.92656751732296772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0.94974503853527159</v>
          </cell>
        </row>
        <row r="28">
          <cell r="B28">
            <v>1.016550605742631</v>
          </cell>
        </row>
        <row r="31">
          <cell r="B31">
            <v>0.97474935016709985</v>
          </cell>
        </row>
        <row r="35">
          <cell r="B35">
            <v>0.9394360922369055</v>
          </cell>
        </row>
        <row r="36">
          <cell r="B36">
            <v>0.98442820427969235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0.94215782259643621</v>
          </cell>
        </row>
        <row r="28">
          <cell r="B28">
            <v>1.0201432220779765</v>
          </cell>
        </row>
        <row r="31">
          <cell r="B31">
            <v>0.95652173913043481</v>
          </cell>
        </row>
        <row r="35">
          <cell r="B35">
            <v>0.88566827697262485</v>
          </cell>
        </row>
        <row r="36">
          <cell r="B36">
            <v>0.97189354498125025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0.87105055691443123</v>
          </cell>
        </row>
        <row r="28">
          <cell r="B28">
            <v>0.99566497068151227</v>
          </cell>
        </row>
        <row r="31">
          <cell r="B31">
            <v>2.5776765375854214</v>
          </cell>
        </row>
        <row r="35">
          <cell r="B35">
            <v>0.96216500262743032</v>
          </cell>
        </row>
        <row r="36">
          <cell r="B36">
            <v>0.96690705353050665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1.0076520338300443</v>
          </cell>
        </row>
        <row r="28">
          <cell r="B28">
            <v>0.98716542343132951</v>
          </cell>
        </row>
        <row r="31">
          <cell r="B31">
            <v>0.97832817337461297</v>
          </cell>
        </row>
        <row r="35">
          <cell r="B35">
            <v>0.97586872586872586</v>
          </cell>
        </row>
        <row r="36">
          <cell r="B36">
            <v>0.99486721713903148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0.8851407062197526</v>
          </cell>
        </row>
        <row r="28">
          <cell r="B28">
            <v>0.94057342036018177</v>
          </cell>
        </row>
        <row r="31">
          <cell r="B31">
            <v>0.94128787878787878</v>
          </cell>
        </row>
        <row r="35">
          <cell r="B35">
            <v>1.011302475780409</v>
          </cell>
        </row>
        <row r="36">
          <cell r="B36">
            <v>0.91681781539701734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0.8932074189162944</v>
          </cell>
        </row>
        <row r="28">
          <cell r="B28">
            <v>1.0097371793804824</v>
          </cell>
        </row>
        <row r="31">
          <cell r="B31">
            <v>0.92159498207885304</v>
          </cell>
        </row>
        <row r="35">
          <cell r="B35">
            <v>0.93240093240093236</v>
          </cell>
        </row>
        <row r="36">
          <cell r="B36">
            <v>0.95975913696810933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0.96891320567023131</v>
          </cell>
        </row>
        <row r="28">
          <cell r="B28">
            <v>1.0181147540983606</v>
          </cell>
        </row>
        <row r="31">
          <cell r="B31">
            <v>0.50452923414768047</v>
          </cell>
        </row>
        <row r="35">
          <cell r="B35">
            <v>1.0018939393939394</v>
          </cell>
        </row>
        <row r="36">
          <cell r="B36">
            <v>0.93715002896312027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0.92539047373176708</v>
          </cell>
        </row>
        <row r="28">
          <cell r="B28">
            <v>1.0250058153058852</v>
          </cell>
        </row>
        <row r="31">
          <cell r="B31">
            <v>1.026829268292683</v>
          </cell>
        </row>
        <row r="35">
          <cell r="B35">
            <v>0.9263196480938416</v>
          </cell>
        </row>
        <row r="36">
          <cell r="B36">
            <v>0.97502621557481095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0.9148474825431826</v>
          </cell>
        </row>
        <row r="28">
          <cell r="B28">
            <v>1.0380355668303978</v>
          </cell>
        </row>
        <row r="31">
          <cell r="B31">
            <v>0.89490311710193771</v>
          </cell>
        </row>
        <row r="35">
          <cell r="B35">
            <v>1.1238805970149253</v>
          </cell>
        </row>
        <row r="36">
          <cell r="B36">
            <v>0.99187926899395507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0.96665808444902168</v>
          </cell>
        </row>
        <row r="28">
          <cell r="B28">
            <v>1.0117394083803104</v>
          </cell>
        </row>
        <row r="31">
          <cell r="B31">
            <v>1.1447267128560432</v>
          </cell>
        </row>
        <row r="35">
          <cell r="B35">
            <v>0.97836053548505408</v>
          </cell>
        </row>
        <row r="36">
          <cell r="B36">
            <v>0.99810455787710484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0.95831389018509872</v>
          </cell>
        </row>
        <row r="28">
          <cell r="B28">
            <v>0.94929082465168824</v>
          </cell>
        </row>
        <row r="31">
          <cell r="B31">
            <v>0.8764044943820225</v>
          </cell>
        </row>
        <row r="35">
          <cell r="B35">
            <v>0.9503105590062112</v>
          </cell>
        </row>
        <row r="36">
          <cell r="B36">
            <v>0.95185209381328806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0.83833442052620133</v>
          </cell>
        </row>
        <row r="28">
          <cell r="B28">
            <v>1.007304292595141</v>
          </cell>
        </row>
        <row r="31">
          <cell r="B31">
            <v>1.0912375790424571</v>
          </cell>
        </row>
        <row r="35">
          <cell r="B35">
            <v>0.96966055872634427</v>
          </cell>
        </row>
        <row r="36">
          <cell r="B36">
            <v>0.94005672052251632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0.91535406634307315</v>
          </cell>
        </row>
        <row r="28">
          <cell r="B28">
            <v>0.96704428424304845</v>
          </cell>
        </row>
        <row r="31">
          <cell r="B31">
            <v>0.89866255144032925</v>
          </cell>
        </row>
        <row r="35">
          <cell r="B35">
            <v>1.0039469529523208</v>
          </cell>
        </row>
        <row r="36">
          <cell r="B36">
            <v>0.94926259350424069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0.89541190682741345</v>
          </cell>
        </row>
        <row r="28">
          <cell r="B28">
            <v>1.0188916369759762</v>
          </cell>
        </row>
        <row r="31">
          <cell r="B31">
            <v>1.0414717410544949</v>
          </cell>
        </row>
        <row r="35">
          <cell r="B35">
            <v>1.0276218611521417</v>
          </cell>
        </row>
        <row r="36">
          <cell r="B36">
            <v>0.97048671764812444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0.89357937310414559</v>
          </cell>
        </row>
        <row r="28">
          <cell r="B28">
            <v>0.97786624203821659</v>
          </cell>
        </row>
        <row r="31">
          <cell r="B31">
            <v>1.2815934065934067</v>
          </cell>
        </row>
        <row r="35">
          <cell r="B35">
            <v>0.81022686352178608</v>
          </cell>
        </row>
        <row r="36">
          <cell r="B36">
            <v>0.93651916476721953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0.88378415114856601</v>
          </cell>
        </row>
        <row r="28">
          <cell r="B28">
            <v>0.97081739623176089</v>
          </cell>
        </row>
        <row r="31">
          <cell r="B31">
            <v>1.1837398373983741</v>
          </cell>
        </row>
        <row r="35">
          <cell r="B35">
            <v>0.88245614035087716</v>
          </cell>
        </row>
        <row r="36">
          <cell r="B36">
            <v>0.92823147476912404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0.83221183800623055</v>
          </cell>
        </row>
        <row r="28">
          <cell r="B28">
            <v>0.98354236122135785</v>
          </cell>
        </row>
        <row r="31">
          <cell r="B31">
            <v>1.1312500000000001</v>
          </cell>
        </row>
        <row r="35">
          <cell r="B35">
            <v>0.86279069767441863</v>
          </cell>
        </row>
        <row r="36">
          <cell r="B36">
            <v>0.91540461575575627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0.83499313791040575</v>
          </cell>
        </row>
        <row r="28">
          <cell r="B28">
            <v>1.0057978070126909</v>
          </cell>
        </row>
        <row r="31">
          <cell r="B31">
            <v>1.3325454276850348</v>
          </cell>
        </row>
        <row r="35">
          <cell r="B35">
            <v>0.76441657444977251</v>
          </cell>
        </row>
        <row r="36">
          <cell r="B36">
            <v>0.94745088363198959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0.96850975111844673</v>
          </cell>
        </row>
        <row r="28">
          <cell r="B28">
            <v>1.0440008455893455</v>
          </cell>
        </row>
        <row r="31">
          <cell r="B31">
            <v>0.70951669157947184</v>
          </cell>
        </row>
        <row r="35">
          <cell r="B35">
            <v>1.0338757001867165</v>
          </cell>
        </row>
        <row r="36">
          <cell r="B36">
            <v>1.0044593808569766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0.96608521898795696</v>
          </cell>
        </row>
        <row r="28">
          <cell r="B28">
            <v>1.011816192560175</v>
          </cell>
        </row>
        <row r="31">
          <cell r="B31">
            <v>0.95112781954887216</v>
          </cell>
        </row>
        <row r="35">
          <cell r="B35">
            <v>1.0908766928011404</v>
          </cell>
        </row>
        <row r="36">
          <cell r="B36">
            <v>0.99882298460232311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0.96271127374106991</v>
          </cell>
        </row>
        <row r="28">
          <cell r="B28">
            <v>1.008299469660445</v>
          </cell>
        </row>
        <row r="31">
          <cell r="B31">
            <v>1.1857034795763994</v>
          </cell>
        </row>
        <row r="35">
          <cell r="B35">
            <v>0.79098187947745469</v>
          </cell>
        </row>
        <row r="36">
          <cell r="B36">
            <v>0.98843470226526908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0.93270063957086857</v>
          </cell>
        </row>
        <row r="28">
          <cell r="B28">
            <v>1.0316574946366943</v>
          </cell>
        </row>
        <row r="31">
          <cell r="B31">
            <v>1.1212624584717608</v>
          </cell>
        </row>
        <row r="35">
          <cell r="B35">
            <v>1.0439281176257034</v>
          </cell>
        </row>
        <row r="36">
          <cell r="B36">
            <v>0.993168890312638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0.95074914701082924</v>
          </cell>
        </row>
        <row r="28">
          <cell r="B28">
            <v>0.96991049323938294</v>
          </cell>
        </row>
        <row r="31">
          <cell r="B31">
            <v>1.0736497545008183</v>
          </cell>
        </row>
        <row r="35">
          <cell r="B35">
            <v>0.74744661095636022</v>
          </cell>
        </row>
        <row r="36">
          <cell r="B36">
            <v>0.95377951508108394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0.89109990459315802</v>
          </cell>
        </row>
        <row r="28">
          <cell r="B28">
            <v>1.0335323650337802</v>
          </cell>
        </row>
        <row r="31">
          <cell r="B31">
            <v>0.95034246575342463</v>
          </cell>
        </row>
        <row r="35">
          <cell r="B35">
            <v>0.89940368161783768</v>
          </cell>
        </row>
        <row r="36">
          <cell r="B36">
            <v>0.97560828279411405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0.933580299684168</v>
          </cell>
        </row>
        <row r="28">
          <cell r="B28">
            <v>1.0019890069936053</v>
          </cell>
        </row>
        <row r="31">
          <cell r="B31">
            <v>1.8380829015544042</v>
          </cell>
        </row>
        <row r="35">
          <cell r="B35">
            <v>0.79579944154425153</v>
          </cell>
        </row>
        <row r="36">
          <cell r="B36">
            <v>0.98391002750071832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0.82537992449908049</v>
          </cell>
        </row>
        <row r="28">
          <cell r="B28">
            <v>1.0753360953749895</v>
          </cell>
        </row>
        <row r="31">
          <cell r="B31">
            <v>1.2220039292730844</v>
          </cell>
        </row>
        <row r="35">
          <cell r="B35">
            <v>0.89988687782805432</v>
          </cell>
        </row>
        <row r="36">
          <cell r="B36">
            <v>0.96001636996112139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0.94310052967837055</v>
          </cell>
        </row>
        <row r="28">
          <cell r="B28">
            <v>0.97216545697977597</v>
          </cell>
        </row>
        <row r="31">
          <cell r="B31">
            <v>0.92727272727272725</v>
          </cell>
        </row>
        <row r="35">
          <cell r="B35">
            <v>1.1016187050359711</v>
          </cell>
        </row>
        <row r="36">
          <cell r="B36">
            <v>0.96847855777110081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0.97619311261211383</v>
          </cell>
        </row>
        <row r="28">
          <cell r="B28">
            <v>0.98430226631782813</v>
          </cell>
        </row>
        <row r="31">
          <cell r="B31">
            <v>0.73652917131177997</v>
          </cell>
        </row>
        <row r="35">
          <cell r="B35">
            <v>0.96258424355101091</v>
          </cell>
        </row>
        <row r="36">
          <cell r="B36">
            <v>0.96766201112191896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0.88011361227690876</v>
          </cell>
        </row>
        <row r="28">
          <cell r="B28">
            <v>1.0019396931758067</v>
          </cell>
        </row>
        <row r="31">
          <cell r="B31">
            <v>1.286417726713172</v>
          </cell>
        </row>
        <row r="35">
          <cell r="B35">
            <v>1.0770365997638724</v>
          </cell>
        </row>
        <row r="36">
          <cell r="B36">
            <v>0.97407069786285827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0.92363679751819594</v>
          </cell>
        </row>
        <row r="28">
          <cell r="B28">
            <v>0.99502743484224965</v>
          </cell>
        </row>
        <row r="31">
          <cell r="B31">
            <v>0.93509127789046653</v>
          </cell>
        </row>
        <row r="35">
          <cell r="B35">
            <v>0.89145496535796764</v>
          </cell>
        </row>
        <row r="36">
          <cell r="B36">
            <v>0.96150252289291727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0.85642782889924152</v>
          </cell>
        </row>
        <row r="28">
          <cell r="B28">
            <v>1.0401156315901714</v>
          </cell>
        </row>
        <row r="31">
          <cell r="B31">
            <v>1.3126085446335534</v>
          </cell>
        </row>
        <row r="35">
          <cell r="B35">
            <v>0.86010533245556287</v>
          </cell>
        </row>
        <row r="36">
          <cell r="B36">
            <v>0.97893188290391808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0.9703750856919009</v>
          </cell>
        </row>
        <row r="28">
          <cell r="B28">
            <v>1.0188512257721922</v>
          </cell>
        </row>
        <row r="31">
          <cell r="B31">
            <v>0.8609550561797753</v>
          </cell>
        </row>
        <row r="35">
          <cell r="B35">
            <v>0.88289249146757676</v>
          </cell>
        </row>
        <row r="36">
          <cell r="B36">
            <v>0.98115281283074163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0.90831735378715239</v>
          </cell>
        </row>
        <row r="28">
          <cell r="B28">
            <v>1.0177575059782127</v>
          </cell>
        </row>
        <row r="31">
          <cell r="B31">
            <v>0.77491408934707906</v>
          </cell>
        </row>
        <row r="35">
          <cell r="B35">
            <v>0.99942062572421786</v>
          </cell>
        </row>
        <row r="36">
          <cell r="B36">
            <v>0.96967146086872869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0.94432203389830505</v>
          </cell>
        </row>
        <row r="28">
          <cell r="B28">
            <v>0.99022090282022179</v>
          </cell>
        </row>
        <row r="31">
          <cell r="B31">
            <v>0.80926130099228222</v>
          </cell>
        </row>
        <row r="35">
          <cell r="B35">
            <v>1.0599898322318251</v>
          </cell>
        </row>
        <row r="36">
          <cell r="B36">
            <v>0.96846174455544076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0.95822296223416337</v>
          </cell>
        </row>
        <row r="28">
          <cell r="B28">
            <v>0.99868334430546413</v>
          </cell>
        </row>
        <row r="31">
          <cell r="B31">
            <v>1.2445054945054945</v>
          </cell>
        </row>
        <row r="35">
          <cell r="B35">
            <v>0.86127355425601038</v>
          </cell>
        </row>
        <row r="36">
          <cell r="B36">
            <v>0.97559890891840606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0.96781820118692929</v>
          </cell>
        </row>
        <row r="28">
          <cell r="B28">
            <v>1.0333947442491236</v>
          </cell>
        </row>
        <row r="31">
          <cell r="B31">
            <v>1.2532656472481891</v>
          </cell>
        </row>
        <row r="35">
          <cell r="B35">
            <v>0.96225677627665906</v>
          </cell>
        </row>
        <row r="36">
          <cell r="B36">
            <v>1.0073413309267438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0.93580548597959556</v>
          </cell>
        </row>
        <row r="28">
          <cell r="B28">
            <v>1.0198314162593116</v>
          </cell>
        </row>
        <row r="31">
          <cell r="B31">
            <v>1.088079235939158</v>
          </cell>
        </row>
        <row r="35">
          <cell r="B35">
            <v>0.90264387963774462</v>
          </cell>
        </row>
        <row r="36">
          <cell r="B36">
            <v>0.99100087249158664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0.92857482421376991</v>
          </cell>
        </row>
        <row r="28">
          <cell r="B28">
            <v>1.0075860044247325</v>
          </cell>
        </row>
        <row r="31">
          <cell r="B31">
            <v>0.87694863276258628</v>
          </cell>
        </row>
        <row r="35">
          <cell r="B35">
            <v>1.0538325400780082</v>
          </cell>
        </row>
        <row r="36">
          <cell r="B36">
            <v>0.96693093503453198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0.96535475403614746</v>
          </cell>
        </row>
        <row r="28">
          <cell r="B28">
            <v>0.98807971873271705</v>
          </cell>
        </row>
        <row r="31">
          <cell r="B31">
            <v>1.0134865134865134</v>
          </cell>
        </row>
        <row r="35">
          <cell r="B35">
            <v>0.97347480106100792</v>
          </cell>
        </row>
        <row r="36">
          <cell r="B36">
            <v>0.97978721614330666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0.94456289978678043</v>
          </cell>
        </row>
        <row r="28">
          <cell r="B28">
            <v>1.0177668031799567</v>
          </cell>
        </row>
        <row r="31">
          <cell r="B31">
            <v>1.1019708654670095</v>
          </cell>
        </row>
        <row r="35">
          <cell r="B35">
            <v>0.92018244013683015</v>
          </cell>
        </row>
        <row r="36">
          <cell r="B36">
            <v>0.98884647709763274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0.93386263201258335</v>
          </cell>
        </row>
        <row r="28">
          <cell r="B28">
            <v>1.0094499966007207</v>
          </cell>
        </row>
        <row r="31">
          <cell r="B31">
            <v>1.0078616352201257</v>
          </cell>
        </row>
        <row r="35">
          <cell r="B35">
            <v>0.96272285251215561</v>
          </cell>
        </row>
        <row r="36">
          <cell r="B36">
            <v>0.97293042780418548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0.93830673274416321</v>
          </cell>
        </row>
        <row r="28">
          <cell r="B28">
            <v>1.0075688929161559</v>
          </cell>
        </row>
        <row r="31">
          <cell r="B31">
            <v>0.88896899783705841</v>
          </cell>
        </row>
        <row r="35">
          <cell r="B35">
            <v>1.0120323203934656</v>
          </cell>
        </row>
        <row r="36">
          <cell r="B36">
            <v>0.97555703089578338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0.79837650710278141</v>
          </cell>
        </row>
        <row r="28">
          <cell r="B28">
            <v>0.99526764118203803</v>
          </cell>
        </row>
        <row r="31">
          <cell r="B31">
            <v>1.0709459459459461</v>
          </cell>
        </row>
        <row r="35">
          <cell r="B35">
            <v>0.92751235584843494</v>
          </cell>
        </row>
        <row r="36">
          <cell r="B36">
            <v>0.90714580325840377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0.87475289931470745</v>
          </cell>
        </row>
        <row r="28">
          <cell r="B28">
            <v>1.0178159931212383</v>
          </cell>
        </row>
        <row r="31">
          <cell r="B31">
            <v>1.3654085441725425</v>
          </cell>
        </row>
        <row r="35">
          <cell r="B35">
            <v>1.0226213221245701</v>
          </cell>
        </row>
        <row r="36">
          <cell r="B36">
            <v>0.97738181818181813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0.91873671554629965</v>
          </cell>
        </row>
        <row r="28">
          <cell r="B28">
            <v>1.0015363900013809</v>
          </cell>
        </row>
        <row r="31">
          <cell r="B31">
            <v>1.1006381934216987</v>
          </cell>
        </row>
        <row r="35">
          <cell r="B35">
            <v>1.0065056924809208</v>
          </cell>
        </row>
        <row r="36">
          <cell r="B36">
            <v>0.96997424368097085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0.91229090909090904</v>
          </cell>
        </row>
        <row r="28">
          <cell r="B28">
            <v>0.98827514330380406</v>
          </cell>
        </row>
        <row r="31">
          <cell r="B31">
            <v>1.3358070500927643</v>
          </cell>
        </row>
        <row r="35">
          <cell r="B35">
            <v>0.78130409694171954</v>
          </cell>
        </row>
        <row r="36">
          <cell r="B36">
            <v>0.94951233505450372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0.83246694419878775</v>
          </cell>
        </row>
        <row r="28">
          <cell r="B28">
            <v>1.0202425117645595</v>
          </cell>
        </row>
        <row r="31">
          <cell r="B31">
            <v>0.86296823138928402</v>
          </cell>
        </row>
        <row r="35">
          <cell r="B35">
            <v>0.86287141730212991</v>
          </cell>
        </row>
        <row r="36">
          <cell r="B36">
            <v>0.94521341329306019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0.92954953253376149</v>
          </cell>
        </row>
        <row r="28">
          <cell r="B28">
            <v>1.0014488379112587</v>
          </cell>
        </row>
        <row r="31">
          <cell r="B31">
            <v>1.058139534883721</v>
          </cell>
        </row>
        <row r="35">
          <cell r="B35">
            <v>0.9519725557461407</v>
          </cell>
        </row>
        <row r="36">
          <cell r="B36">
            <v>0.96676523436947326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0.98153064758166919</v>
          </cell>
        </row>
        <row r="28">
          <cell r="B28">
            <v>0.99239694211260854</v>
          </cell>
        </row>
        <row r="31">
          <cell r="B31">
            <v>1.3212205270457698</v>
          </cell>
        </row>
        <row r="35">
          <cell r="B35">
            <v>0.96538032878239066</v>
          </cell>
        </row>
        <row r="36">
          <cell r="B36">
            <v>0.99133924732039047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1.0077976087333218</v>
          </cell>
        </row>
        <row r="28">
          <cell r="B28">
            <v>1.0448857766042934</v>
          </cell>
        </row>
        <row r="31">
          <cell r="B31">
            <v>0.8666666666666667</v>
          </cell>
        </row>
        <row r="35">
          <cell r="B35">
            <v>0.88645161290322583</v>
          </cell>
        </row>
        <row r="36">
          <cell r="B36">
            <v>1.0189173643509939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0.90796983519380203</v>
          </cell>
        </row>
        <row r="28">
          <cell r="B28">
            <v>1.0246083609968613</v>
          </cell>
        </row>
        <row r="31">
          <cell r="B31">
            <v>1.5384864689677524</v>
          </cell>
        </row>
        <row r="35">
          <cell r="B35">
            <v>1.1059175685010361</v>
          </cell>
        </row>
        <row r="36">
          <cell r="B36">
            <v>1.0008355154010673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0.97563946406820945</v>
          </cell>
        </row>
        <row r="28">
          <cell r="B28">
            <v>0.93092719352831366</v>
          </cell>
        </row>
        <row r="31">
          <cell r="B31">
            <v>1.0641025641025641</v>
          </cell>
        </row>
        <row r="35">
          <cell r="B35">
            <v>1.0902061855670102</v>
          </cell>
        </row>
        <row r="36">
          <cell r="B36">
            <v>0.95745172852352878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0.88297489551329955</v>
          </cell>
        </row>
        <row r="28">
          <cell r="B28">
            <v>1.0189538218735299</v>
          </cell>
        </row>
        <row r="31">
          <cell r="B31">
            <v>0.93458870168483643</v>
          </cell>
        </row>
        <row r="35">
          <cell r="B35">
            <v>0.97617977528089883</v>
          </cell>
        </row>
        <row r="36">
          <cell r="B36">
            <v>0.97068428152765507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0.93853820598006643</v>
          </cell>
        </row>
        <row r="28">
          <cell r="B28">
            <v>0.99967159277504103</v>
          </cell>
        </row>
        <row r="31">
          <cell r="B31">
            <v>0.90306122448979587</v>
          </cell>
        </row>
        <row r="35">
          <cell r="B35">
            <v>0.90566037735849059</v>
          </cell>
        </row>
        <row r="36">
          <cell r="B36">
            <v>0.9750698251784421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0.84907245106631613</v>
          </cell>
        </row>
        <row r="28">
          <cell r="B28">
            <v>0.9903451885887109</v>
          </cell>
        </row>
        <row r="31">
          <cell r="B31">
            <v>1.0939104915627293</v>
          </cell>
        </row>
        <row r="35">
          <cell r="B35">
            <v>0.97153465346534651</v>
          </cell>
        </row>
        <row r="36">
          <cell r="B36">
            <v>0.93326402073350812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0.93881144159699248</v>
          </cell>
        </row>
        <row r="28">
          <cell r="B28">
            <v>1.0093053909594409</v>
          </cell>
        </row>
        <row r="31">
          <cell r="B31">
            <v>0.80839141724750585</v>
          </cell>
        </row>
        <row r="35">
          <cell r="B35">
            <v>1.02708987327055</v>
          </cell>
        </row>
        <row r="36">
          <cell r="B36">
            <v>0.97856432004891403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0.89656862745098043</v>
          </cell>
        </row>
        <row r="28">
          <cell r="B28">
            <v>1.018340538045075</v>
          </cell>
        </row>
        <row r="31">
          <cell r="B31">
            <v>1.048462255358807</v>
          </cell>
        </row>
        <row r="35">
          <cell r="B35">
            <v>0.84554597701149425</v>
          </cell>
        </row>
        <row r="36">
          <cell r="B36">
            <v>0.94980954514900295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0.91988760813292325</v>
          </cell>
        </row>
        <row r="28">
          <cell r="B28">
            <v>1.0314862908230102</v>
          </cell>
        </row>
        <row r="31">
          <cell r="B31">
            <v>0.52609844730756528</v>
          </cell>
        </row>
        <row r="35">
          <cell r="B35">
            <v>0.9330329534411167</v>
          </cell>
        </row>
        <row r="36">
          <cell r="B36">
            <v>0.94459055645108081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0.91048034934497812</v>
          </cell>
        </row>
        <row r="28">
          <cell r="B28">
            <v>0.99748606405071594</v>
          </cell>
        </row>
        <row r="31">
          <cell r="B31">
            <v>0.9353932584269663</v>
          </cell>
        </row>
        <row r="35">
          <cell r="B35">
            <v>0.77786818551668024</v>
          </cell>
        </row>
        <row r="36">
          <cell r="B36">
            <v>0.9451403887688985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0.93876337693222356</v>
          </cell>
        </row>
        <row r="28">
          <cell r="B28">
            <v>0.9823302569435417</v>
          </cell>
        </row>
        <row r="31">
          <cell r="B31">
            <v>1.1626237623762377</v>
          </cell>
        </row>
        <row r="35">
          <cell r="B35">
            <v>0.94249873716113819</v>
          </cell>
        </row>
        <row r="36">
          <cell r="B36">
            <v>0.96292208868460738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0.86694155011979723</v>
          </cell>
        </row>
        <row r="28">
          <cell r="B28">
            <v>0.97691253602986339</v>
          </cell>
        </row>
        <row r="31">
          <cell r="B31">
            <v>0.96600755387691628</v>
          </cell>
        </row>
        <row r="35">
          <cell r="B35">
            <v>0.93223511793335834</v>
          </cell>
        </row>
        <row r="36">
          <cell r="B36">
            <v>0.9275867796047168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0.86898715267403648</v>
          </cell>
        </row>
        <row r="28">
          <cell r="B28">
            <v>0.99948773877982677</v>
          </cell>
        </row>
        <row r="31">
          <cell r="B31">
            <v>0.92647789369100841</v>
          </cell>
        </row>
        <row r="35">
          <cell r="B35">
            <v>1.0187132694092174</v>
          </cell>
        </row>
        <row r="36">
          <cell r="B36">
            <v>0.95126375287424769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0.99991150442477872</v>
          </cell>
        </row>
        <row r="28">
          <cell r="B28">
            <v>1.0398657498362802</v>
          </cell>
        </row>
        <row r="31">
          <cell r="B31">
            <v>0.93069306930693074</v>
          </cell>
        </row>
        <row r="35">
          <cell r="B35">
            <v>1.068802329814343</v>
          </cell>
        </row>
        <row r="36">
          <cell r="B36">
            <v>1.0211778357992458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1.0866625691456668</v>
          </cell>
        </row>
        <row r="28">
          <cell r="B28">
            <v>1.0431985294117647</v>
          </cell>
        </row>
        <row r="31">
          <cell r="B31">
            <v>0.92746113989637302</v>
          </cell>
        </row>
        <row r="35">
          <cell r="B35">
            <v>0.91682563906905756</v>
          </cell>
        </row>
        <row r="36">
          <cell r="B36">
            <v>1.0491076316653893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1.0503276738948912</v>
          </cell>
        </row>
        <row r="28">
          <cell r="B28">
            <v>1.071692880760742</v>
          </cell>
        </row>
        <row r="31">
          <cell r="B31">
            <v>1.1073844419391206</v>
          </cell>
        </row>
        <row r="35">
          <cell r="B35">
            <v>1.1558454491137224</v>
          </cell>
        </row>
        <row r="36">
          <cell r="B36">
            <v>1.0683501699197717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1.088713439799031</v>
          </cell>
        </row>
        <row r="28">
          <cell r="B28">
            <v>1.0203581287229406</v>
          </cell>
        </row>
        <row r="31">
          <cell r="B31">
            <v>1.0098408104196817</v>
          </cell>
        </row>
        <row r="35">
          <cell r="B35">
            <v>1.0904127538763921</v>
          </cell>
        </row>
        <row r="36">
          <cell r="B36">
            <v>1.0444246561788859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1.210009953078345</v>
          </cell>
        </row>
        <row r="28">
          <cell r="B28">
            <v>0.97473979651502751</v>
          </cell>
        </row>
        <row r="31">
          <cell r="B31">
            <v>1.0751173708920188</v>
          </cell>
        </row>
        <row r="35">
          <cell r="B35">
            <v>0.96360485268630847</v>
          </cell>
        </row>
        <row r="36">
          <cell r="B36">
            <v>1.0767069744717235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0.99151546795457512</v>
          </cell>
        </row>
        <row r="28">
          <cell r="B28">
            <v>1.0364072215147202</v>
          </cell>
        </row>
        <row r="31">
          <cell r="B31">
            <v>0.94830827067669177</v>
          </cell>
        </row>
        <row r="35">
          <cell r="B35">
            <v>1.182105595953209</v>
          </cell>
        </row>
        <row r="36">
          <cell r="B36">
            <v>1.0265251200618524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1.0017458535977055</v>
          </cell>
        </row>
        <row r="28">
          <cell r="B28">
            <v>1.0310001056821785</v>
          </cell>
        </row>
        <row r="31">
          <cell r="B31">
            <v>1.0388548057259714</v>
          </cell>
        </row>
        <row r="35">
          <cell r="B35">
            <v>1.1015561015561015</v>
          </cell>
        </row>
        <row r="36">
          <cell r="B36">
            <v>1.0241976566479878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0.96977757523053953</v>
          </cell>
        </row>
        <row r="28">
          <cell r="B28">
            <v>1.0332264835073119</v>
          </cell>
        </row>
        <row r="31">
          <cell r="B31">
            <v>1.0937385124372012</v>
          </cell>
        </row>
        <row r="35">
          <cell r="B35">
            <v>1.0758388763878242</v>
          </cell>
        </row>
        <row r="36">
          <cell r="B36">
            <v>1.0137648429356823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1.0093146586891488</v>
          </cell>
        </row>
        <row r="28">
          <cell r="B28">
            <v>1.0038863372533184</v>
          </cell>
        </row>
        <row r="31">
          <cell r="B31">
            <v>1.2468354430379747</v>
          </cell>
        </row>
        <row r="35">
          <cell r="B35">
            <v>1.0146076794657763</v>
          </cell>
        </row>
        <row r="36">
          <cell r="B36">
            <v>1.0117750019890206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0.91246361861253367</v>
          </cell>
        </row>
        <row r="28">
          <cell r="B28">
            <v>0.96462135214640876</v>
          </cell>
        </row>
        <row r="31">
          <cell r="B31">
            <v>1.0259026687598116</v>
          </cell>
        </row>
        <row r="35">
          <cell r="B35">
            <v>0.89560325067722446</v>
          </cell>
        </row>
        <row r="36">
          <cell r="B36">
            <v>0.94132264864789406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0.96673791076676463</v>
          </cell>
        </row>
        <row r="28">
          <cell r="B28">
            <v>1.0409729837503738</v>
          </cell>
        </row>
        <row r="31">
          <cell r="B31">
            <v>0.87308868501529047</v>
          </cell>
        </row>
        <row r="35">
          <cell r="B35">
            <v>0.92829457364341084</v>
          </cell>
        </row>
        <row r="36">
          <cell r="B36">
            <v>1.0034912450316897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0.97557412967621526</v>
          </cell>
        </row>
        <row r="28">
          <cell r="B28">
            <v>1.0367554999105706</v>
          </cell>
        </row>
        <row r="31">
          <cell r="B31">
            <v>1.0383029658199228</v>
          </cell>
        </row>
        <row r="35">
          <cell r="B35">
            <v>0.98588814085965826</v>
          </cell>
        </row>
        <row r="36">
          <cell r="B36">
            <v>1.0161890865940559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1.1437091735302471</v>
          </cell>
        </row>
        <row r="28">
          <cell r="B28">
            <v>1.087115165336374</v>
          </cell>
        </row>
        <row r="31">
          <cell r="B31">
            <v>1.0272727272727273</v>
          </cell>
        </row>
        <row r="35">
          <cell r="B35">
            <v>1.1538858765814615</v>
          </cell>
        </row>
        <row r="36">
          <cell r="B36">
            <v>1.1112255881900661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0.99069081001305559</v>
          </cell>
        </row>
        <row r="28">
          <cell r="B28">
            <v>1.018517348164065</v>
          </cell>
        </row>
        <row r="31">
          <cell r="B31">
            <v>0.99249061326658328</v>
          </cell>
        </row>
        <row r="35">
          <cell r="B35">
            <v>0.98540925266903912</v>
          </cell>
        </row>
        <row r="36">
          <cell r="B36">
            <v>1.0070926009986383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0.98162962962962963</v>
          </cell>
        </row>
        <row r="28">
          <cell r="B28">
            <v>1.0291627156427277</v>
          </cell>
        </row>
        <row r="31">
          <cell r="B31">
            <v>1.2425453427605286</v>
          </cell>
        </row>
        <row r="35">
          <cell r="B35">
            <v>0.89294585196224541</v>
          </cell>
        </row>
        <row r="36">
          <cell r="B36">
            <v>1.0171098633329803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1.0018736498699468</v>
          </cell>
        </row>
        <row r="28">
          <cell r="B28">
            <v>1.053988495391226</v>
          </cell>
        </row>
        <row r="31">
          <cell r="B31">
            <v>1.115</v>
          </cell>
        </row>
        <row r="35">
          <cell r="B35">
            <v>0.98098211751348285</v>
          </cell>
        </row>
        <row r="36">
          <cell r="B36">
            <v>1.0286752792517853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0.91242527064146062</v>
          </cell>
        </row>
        <row r="28">
          <cell r="B28">
            <v>1.0624520337682273</v>
          </cell>
        </row>
        <row r="31">
          <cell r="B31">
            <v>0.90689013035381749</v>
          </cell>
        </row>
        <row r="35">
          <cell r="B35">
            <v>1.0667361835245046</v>
          </cell>
        </row>
        <row r="36">
          <cell r="B36">
            <v>1.0067922027721024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0.97572873289708506</v>
          </cell>
        </row>
        <row r="28">
          <cell r="B28">
            <v>1.036971459887863</v>
          </cell>
        </row>
        <row r="31">
          <cell r="B31">
            <v>0.97286184210526316</v>
          </cell>
        </row>
        <row r="35">
          <cell r="B35">
            <v>1.0769924812030076</v>
          </cell>
        </row>
        <row r="36">
          <cell r="B36">
            <v>1.0176818052281147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0.98646973765750878</v>
          </cell>
        </row>
        <row r="28">
          <cell r="B28">
            <v>1.0230297996054407</v>
          </cell>
        </row>
        <row r="31">
          <cell r="B31">
            <v>1.1543606206527555</v>
          </cell>
        </row>
        <row r="35">
          <cell r="B35">
            <v>0.87863203908459764</v>
          </cell>
        </row>
        <row r="36">
          <cell r="B36">
            <v>1.0090546829155125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0.97418817651956702</v>
          </cell>
        </row>
        <row r="28">
          <cell r="B28">
            <v>1.0161755771567436</v>
          </cell>
        </row>
        <row r="31">
          <cell r="B31">
            <v>1.3614678899082568</v>
          </cell>
        </row>
        <row r="35">
          <cell r="B35">
            <v>0.9606741573033708</v>
          </cell>
        </row>
        <row r="36">
          <cell r="B36">
            <v>1.0051464435146444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1.0059480456421461</v>
          </cell>
        </row>
        <row r="28">
          <cell r="B28">
            <v>1.0000771010023131</v>
          </cell>
        </row>
        <row r="31">
          <cell r="B31">
            <v>0.96263079222720482</v>
          </cell>
        </row>
        <row r="35">
          <cell r="B35">
            <v>1.0219532789192232</v>
          </cell>
        </row>
        <row r="36">
          <cell r="B36">
            <v>1.0045146726862302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0.99090699815837935</v>
          </cell>
        </row>
        <row r="28">
          <cell r="B28">
            <v>1.0322115706911577</v>
          </cell>
        </row>
        <row r="31">
          <cell r="B31">
            <v>0.97668221185876081</v>
          </cell>
        </row>
        <row r="35">
          <cell r="B35">
            <v>1.1201737451737452</v>
          </cell>
        </row>
        <row r="36">
          <cell r="B36">
            <v>1.0239523223914484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0.99076188499065809</v>
          </cell>
        </row>
        <row r="28">
          <cell r="B28">
            <v>1.0281614684027858</v>
          </cell>
        </row>
        <row r="31">
          <cell r="B31">
            <v>1.0827309236947791</v>
          </cell>
        </row>
        <row r="35">
          <cell r="B35">
            <v>1.0928532755820248</v>
          </cell>
        </row>
        <row r="36">
          <cell r="B36">
            <v>1.0231051577146366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1.0125821333706138</v>
          </cell>
        </row>
        <row r="28">
          <cell r="B28">
            <v>1.0339753657931718</v>
          </cell>
        </row>
        <row r="31">
          <cell r="B31">
            <v>0.90549828178694158</v>
          </cell>
        </row>
        <row r="35">
          <cell r="B35">
            <v>1.1962110960757781</v>
          </cell>
        </row>
        <row r="36">
          <cell r="B36">
            <v>1.0287297652034417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1.0041707671399784</v>
          </cell>
        </row>
        <row r="28">
          <cell r="B28">
            <v>1.0289715835094686</v>
          </cell>
        </row>
        <row r="31">
          <cell r="B31">
            <v>0.89414071008494878</v>
          </cell>
        </row>
        <row r="35">
          <cell r="B35">
            <v>1.1337037037037037</v>
          </cell>
        </row>
        <row r="36">
          <cell r="B36">
            <v>1.0175038757635586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1.0690900671451724</v>
          </cell>
        </row>
        <row r="28">
          <cell r="B28">
            <v>1.0210568136670639</v>
          </cell>
        </row>
        <row r="31">
          <cell r="B31">
            <v>1.1438923395445135</v>
          </cell>
        </row>
        <row r="35">
          <cell r="B35">
            <v>0.92457973648341663</v>
          </cell>
        </row>
        <row r="36">
          <cell r="B36">
            <v>1.0350833445226633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1.0265022675736961</v>
          </cell>
        </row>
        <row r="28">
          <cell r="B28">
            <v>1.0490003417634997</v>
          </cell>
        </row>
        <row r="31">
          <cell r="B31">
            <v>1.5591397849462365</v>
          </cell>
        </row>
        <row r="35">
          <cell r="B35">
            <v>1.2468768590124926</v>
          </cell>
        </row>
        <row r="36">
          <cell r="B36">
            <v>1.0565406574612037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1.1012199434229137</v>
          </cell>
        </row>
        <row r="28">
          <cell r="B28">
            <v>1.0131082933516107</v>
          </cell>
        </row>
        <row r="31">
          <cell r="B31">
            <v>1.7322485207100591</v>
          </cell>
        </row>
        <row r="35">
          <cell r="B35">
            <v>1.0928116469517744</v>
          </cell>
        </row>
        <row r="36">
          <cell r="B36">
            <v>1.0772294841054992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0.96278128163201748</v>
          </cell>
        </row>
        <row r="28">
          <cell r="B28">
            <v>1.01045848299176</v>
          </cell>
        </row>
        <row r="31">
          <cell r="B31">
            <v>1.0726895119418485</v>
          </cell>
        </row>
        <row r="35">
          <cell r="B35">
            <v>0.98974189278623426</v>
          </cell>
        </row>
        <row r="36">
          <cell r="B36">
            <v>0.99326062639821033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1.0642406731063356</v>
          </cell>
        </row>
        <row r="28">
          <cell r="B28">
            <v>1.0574749489480932</v>
          </cell>
        </row>
        <row r="31">
          <cell r="B31">
            <v>1.4629919289244822</v>
          </cell>
        </row>
        <row r="35">
          <cell r="B35">
            <v>1.0770303574498978</v>
          </cell>
        </row>
        <row r="36">
          <cell r="B36">
            <v>1.0697524332779096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1.0044370417901074</v>
          </cell>
        </row>
        <row r="28">
          <cell r="B28">
            <v>1.0231352472296027</v>
          </cell>
        </row>
        <row r="31">
          <cell r="B31">
            <v>1.4038338658146965</v>
          </cell>
        </row>
        <row r="35">
          <cell r="B35">
            <v>1.0109483042476128</v>
          </cell>
        </row>
        <row r="36">
          <cell r="B36">
            <v>1.0262618891943345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0.94351797289334116</v>
          </cell>
        </row>
        <row r="28">
          <cell r="B28">
            <v>0.97392246652917114</v>
          </cell>
        </row>
        <row r="31">
          <cell r="B31">
            <v>1.132991133924405</v>
          </cell>
        </row>
        <row r="35">
          <cell r="B35">
            <v>0.97379789631855751</v>
          </cell>
        </row>
        <row r="36">
          <cell r="B36">
            <v>0.96141712296478954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1.0303830486096575</v>
          </cell>
        </row>
        <row r="28">
          <cell r="B28">
            <v>1.0435412101966159</v>
          </cell>
        </row>
        <row r="31">
          <cell r="B31">
            <v>0.89185360094451005</v>
          </cell>
        </row>
        <row r="35">
          <cell r="B35">
            <v>1.1261107313738892</v>
          </cell>
        </row>
        <row r="36">
          <cell r="B36">
            <v>1.0394297320434416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1.0192746226517537</v>
          </cell>
        </row>
        <row r="28">
          <cell r="B28">
            <v>1.0226897202879737</v>
          </cell>
        </row>
        <row r="31">
          <cell r="B31">
            <v>1.0951585976627713</v>
          </cell>
        </row>
        <row r="35">
          <cell r="B35">
            <v>1.1421965317919076</v>
          </cell>
        </row>
        <row r="36">
          <cell r="B36">
            <v>1.0303679258531104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0.97983099489795922</v>
          </cell>
        </row>
        <row r="28">
          <cell r="B28">
            <v>1.0446859903381642</v>
          </cell>
        </row>
        <row r="31">
          <cell r="B31">
            <v>1.0043227665706052</v>
          </cell>
        </row>
        <row r="35">
          <cell r="B35">
            <v>1.0209599027946537</v>
          </cell>
        </row>
        <row r="36">
          <cell r="B36">
            <v>1.0168933212450892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1.0257251160611611</v>
          </cell>
        </row>
        <row r="28">
          <cell r="B28">
            <v>1.0519298837013316</v>
          </cell>
        </row>
        <row r="31">
          <cell r="B31">
            <v>1.0251813913785746</v>
          </cell>
        </row>
        <row r="35">
          <cell r="B35">
            <v>1.1271933984634355</v>
          </cell>
        </row>
        <row r="36">
          <cell r="B36">
            <v>1.0477369224830919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1.0704935914916827</v>
          </cell>
        </row>
        <row r="28">
          <cell r="B28">
            <v>1.0125173852573017</v>
          </cell>
        </row>
        <row r="31">
          <cell r="B31">
            <v>1.0823529411764705</v>
          </cell>
        </row>
        <row r="35">
          <cell r="B35">
            <v>0.99484092863284612</v>
          </cell>
        </row>
        <row r="36">
          <cell r="B36">
            <v>1.0351796011215151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0.97928938930728504</v>
          </cell>
        </row>
        <row r="28">
          <cell r="B28">
            <v>1.0228056310629021</v>
          </cell>
        </row>
        <row r="31">
          <cell r="B31">
            <v>1.3088697017268447</v>
          </cell>
        </row>
        <row r="35">
          <cell r="B35">
            <v>1.0827847267939434</v>
          </cell>
        </row>
        <row r="36">
          <cell r="B36">
            <v>1.0180281321699702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0.97152719757266615</v>
          </cell>
        </row>
        <row r="28">
          <cell r="B28">
            <v>1.0289772059687463</v>
          </cell>
        </row>
        <row r="31">
          <cell r="B31">
            <v>1.2103433289873968</v>
          </cell>
        </row>
        <row r="35">
          <cell r="B35">
            <v>0.97785079712790557</v>
          </cell>
        </row>
        <row r="36">
          <cell r="B36">
            <v>1.0078976210431307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1.0333943275388837</v>
          </cell>
        </row>
        <row r="28">
          <cell r="B28">
            <v>1.022223705285638</v>
          </cell>
        </row>
        <row r="31">
          <cell r="B31">
            <v>1.5929203539823009</v>
          </cell>
        </row>
        <row r="35">
          <cell r="B35">
            <v>0.84908053265694361</v>
          </cell>
        </row>
        <row r="36">
          <cell r="B36">
            <v>1.0287018054361483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0.99558796812955797</v>
          </cell>
        </row>
        <row r="28">
          <cell r="B28">
            <v>1.0687081431429633</v>
          </cell>
        </row>
        <row r="31">
          <cell r="B31">
            <v>1.1560130010834235</v>
          </cell>
        </row>
        <row r="35">
          <cell r="B35">
            <v>0.95547652916073966</v>
          </cell>
        </row>
        <row r="36">
          <cell r="B36">
            <v>1.0423301445643205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1.0534573534573535</v>
          </cell>
        </row>
        <row r="28">
          <cell r="B28">
            <v>1.0484664564980408</v>
          </cell>
        </row>
        <row r="31">
          <cell r="B31">
            <v>1.0090744101633393</v>
          </cell>
        </row>
        <row r="35">
          <cell r="B35">
            <v>1.1017612524461839</v>
          </cell>
        </row>
        <row r="36">
          <cell r="B36">
            <v>1.0535137673927082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0.93817427385892116</v>
          </cell>
        </row>
        <row r="28">
          <cell r="B28">
            <v>0.98517560441747087</v>
          </cell>
        </row>
        <row r="31">
          <cell r="B31">
            <v>1.0738007380073802</v>
          </cell>
        </row>
        <row r="35">
          <cell r="B35">
            <v>0.76017130620985007</v>
          </cell>
        </row>
        <row r="36">
          <cell r="B36">
            <v>0.95188096871207728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1.2235384615384615</v>
          </cell>
        </row>
        <row r="28">
          <cell r="B28">
            <v>1.0541831740852947</v>
          </cell>
        </row>
        <row r="31">
          <cell r="B31">
            <v>1.0492753623188407</v>
          </cell>
        </row>
        <row r="35">
          <cell r="B35">
            <v>0.99353169469598968</v>
          </cell>
        </row>
        <row r="36">
          <cell r="B36">
            <v>1.1191358024691358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1.0207079156402725</v>
          </cell>
        </row>
        <row r="28">
          <cell r="B28">
            <v>1.0664248440047404</v>
          </cell>
        </row>
        <row r="31">
          <cell r="B31">
            <v>1.0988671472708549</v>
          </cell>
        </row>
        <row r="35">
          <cell r="B35">
            <v>1.0020358920223194</v>
          </cell>
        </row>
        <row r="36">
          <cell r="B36">
            <v>1.0504900363254828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1.0749414519906324</v>
          </cell>
        </row>
        <row r="28">
          <cell r="B28">
            <v>0.98903508771929827</v>
          </cell>
        </row>
        <row r="31">
          <cell r="B31">
            <v>1.1893203883495145</v>
          </cell>
        </row>
        <row r="35">
          <cell r="B35">
            <v>1.1623529411764706</v>
          </cell>
        </row>
        <row r="36">
          <cell r="B36">
            <v>1.0344743276283619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0.9870714071507114</v>
          </cell>
        </row>
        <row r="28">
          <cell r="B28">
            <v>1.0382668424565002</v>
          </cell>
        </row>
        <row r="31">
          <cell r="B31">
            <v>0.94809688581314877</v>
          </cell>
        </row>
        <row r="35">
          <cell r="B35">
            <v>1.1252036304398418</v>
          </cell>
        </row>
        <row r="36">
          <cell r="B36">
            <v>1.0251906585071362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1.054862842892768</v>
          </cell>
        </row>
        <row r="28">
          <cell r="B28">
            <v>1.0280144167758847</v>
          </cell>
        </row>
        <row r="31">
          <cell r="B31">
            <v>0.89552238805970152</v>
          </cell>
        </row>
        <row r="35">
          <cell r="B35">
            <v>0.76485148514851486</v>
          </cell>
        </row>
        <row r="36">
          <cell r="B36">
            <v>1.0219630096679277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1.0375693058327788</v>
          </cell>
        </row>
        <row r="28">
          <cell r="B28">
            <v>1.0180469912821604</v>
          </cell>
        </row>
        <row r="31">
          <cell r="B31">
            <v>1.2269203664552502</v>
          </cell>
        </row>
        <row r="35">
          <cell r="B35">
            <v>1.147098976109215</v>
          </cell>
        </row>
        <row r="36">
          <cell r="B36">
            <v>1.0353234756192071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1.0993710588947321</v>
          </cell>
        </row>
        <row r="28">
          <cell r="B28">
            <v>1.0387444854438999</v>
          </cell>
        </row>
        <row r="31">
          <cell r="B31">
            <v>1.070383404334136</v>
          </cell>
        </row>
        <row r="35">
          <cell r="B35">
            <v>1.0101981010432539</v>
          </cell>
        </row>
        <row r="36">
          <cell r="B36">
            <v>1.0611629199994945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1.0168733653927275</v>
          </cell>
        </row>
        <row r="28">
          <cell r="B28">
            <v>1.0461526763990268</v>
          </cell>
        </row>
        <row r="31">
          <cell r="B31">
            <v>1.2282051282051283</v>
          </cell>
        </row>
        <row r="35">
          <cell r="B35">
            <v>1.3408395885460105</v>
          </cell>
        </row>
        <row r="36">
          <cell r="B36">
            <v>1.0567208865034594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0.96538845258499395</v>
          </cell>
        </row>
        <row r="28">
          <cell r="B28">
            <v>1.0499203875221457</v>
          </cell>
        </row>
        <row r="31">
          <cell r="B31">
            <v>1.0994535519125683</v>
          </cell>
        </row>
        <row r="35">
          <cell r="B35">
            <v>1.1249876786594382</v>
          </cell>
        </row>
        <row r="36">
          <cell r="B36">
            <v>1.024996893509506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1.0116782006920415</v>
          </cell>
        </row>
        <row r="28">
          <cell r="B28">
            <v>0.99151553717255281</v>
          </cell>
        </row>
        <row r="31">
          <cell r="B31">
            <v>1.1331360946745561</v>
          </cell>
        </row>
        <row r="35">
          <cell r="B35">
            <v>0.96737907761529807</v>
          </cell>
        </row>
        <row r="36">
          <cell r="B36">
            <v>1.0009663483401545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0.90857947920715121</v>
          </cell>
        </row>
        <row r="28">
          <cell r="B28">
            <v>0.99244762662423758</v>
          </cell>
        </row>
        <row r="31">
          <cell r="B31">
            <v>1.071667285555143</v>
          </cell>
        </row>
        <row r="35">
          <cell r="B35">
            <v>1.0075243163883281</v>
          </cell>
        </row>
        <row r="36">
          <cell r="B36">
            <v>0.95465581427613477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0.97412312618250618</v>
          </cell>
        </row>
        <row r="28">
          <cell r="B28">
            <v>1.0181943186772646</v>
          </cell>
        </row>
        <row r="31">
          <cell r="B31">
            <v>0.9298874104401228</v>
          </cell>
        </row>
        <row r="35">
          <cell r="B35">
            <v>1.0439987562189055</v>
          </cell>
        </row>
        <row r="36">
          <cell r="B36">
            <v>1.0033406593406593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1.0160330184935313</v>
          </cell>
        </row>
        <row r="28">
          <cell r="B28">
            <v>1.025516704416761</v>
          </cell>
        </row>
        <row r="31">
          <cell r="B31">
            <v>1.0483005366726297</v>
          </cell>
        </row>
        <row r="35">
          <cell r="B35">
            <v>1.25764192139738</v>
          </cell>
        </row>
        <row r="36">
          <cell r="B36">
            <v>1.0387986651835373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0.97092683962013904</v>
          </cell>
        </row>
        <row r="28">
          <cell r="B28">
            <v>1.0575916230366491</v>
          </cell>
        </row>
        <row r="31">
          <cell r="B31">
            <v>1.0817174515235457</v>
          </cell>
        </row>
        <row r="35">
          <cell r="B35">
            <v>1.3455621301775147</v>
          </cell>
        </row>
        <row r="36">
          <cell r="B36">
            <v>1.0415238716930497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1.0224560226237838</v>
          </cell>
        </row>
        <row r="28">
          <cell r="B28">
            <v>1.0916262368540992</v>
          </cell>
        </row>
        <row r="31">
          <cell r="B31">
            <v>1.2379411764705883</v>
          </cell>
        </row>
        <row r="35">
          <cell r="B35">
            <v>1.0946623679025613</v>
          </cell>
        </row>
        <row r="36">
          <cell r="B36">
            <v>1.0758773629979537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1.0359618998250502</v>
          </cell>
        </row>
        <row r="28">
          <cell r="B28">
            <v>1.0285247742001327</v>
          </cell>
        </row>
        <row r="31">
          <cell r="B31">
            <v>1.2849479331019249</v>
          </cell>
        </row>
        <row r="35">
          <cell r="B35">
            <v>1.0220044008801761</v>
          </cell>
        </row>
        <row r="36">
          <cell r="B36">
            <v>1.0358928323809107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0.77521237203223703</v>
          </cell>
        </row>
        <row r="28">
          <cell r="B28">
            <v>1.0216506829410055</v>
          </cell>
        </row>
        <row r="31">
          <cell r="B31">
            <v>1.0489913544668588</v>
          </cell>
        </row>
        <row r="35">
          <cell r="B35">
            <v>1.0159744408945688</v>
          </cell>
        </row>
        <row r="36">
          <cell r="B36">
            <v>0.9272962916509887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0.98945981554677209</v>
          </cell>
        </row>
        <row r="28">
          <cell r="B28">
            <v>1.0166244222454153</v>
          </cell>
        </row>
        <row r="31">
          <cell r="B31">
            <v>1.1315068493150684</v>
          </cell>
        </row>
        <row r="35">
          <cell r="B35">
            <v>1.0145464917284654</v>
          </cell>
        </row>
        <row r="36">
          <cell r="B36">
            <v>1.0109838576892214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0.96907294688738455</v>
          </cell>
        </row>
        <row r="28">
          <cell r="B28">
            <v>1.0327477888769265</v>
          </cell>
        </row>
        <row r="31">
          <cell r="B31">
            <v>1.2831969792322215</v>
          </cell>
        </row>
        <row r="35">
          <cell r="B35">
            <v>0.91135135135135137</v>
          </cell>
        </row>
        <row r="36">
          <cell r="B36">
            <v>1.0146994348594858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1.0148420356151733</v>
          </cell>
        </row>
        <row r="28">
          <cell r="B28">
            <v>1.0366550652061848</v>
          </cell>
        </row>
        <row r="31">
          <cell r="B31">
            <v>1.4063211463773939</v>
          </cell>
        </row>
        <row r="35">
          <cell r="B35">
            <v>1.0113424133375848</v>
          </cell>
        </row>
        <row r="36">
          <cell r="B36">
            <v>1.0333443932078827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0.96258364853069533</v>
          </cell>
        </row>
        <row r="28">
          <cell r="B28">
            <v>1.0276234615266566</v>
          </cell>
        </row>
        <row r="31">
          <cell r="B31">
            <v>1.4450915141430949</v>
          </cell>
        </row>
        <row r="35">
          <cell r="B35">
            <v>1.2761020881670533</v>
          </cell>
        </row>
        <row r="36">
          <cell r="B36">
            <v>1.0301009539686949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0.95163781337547593</v>
          </cell>
        </row>
        <row r="28">
          <cell r="B28">
            <v>0.97260889966372099</v>
          </cell>
        </row>
        <row r="31">
          <cell r="B31">
            <v>1.115795090715048</v>
          </cell>
        </row>
        <row r="35">
          <cell r="B35">
            <v>0.98525963149078732</v>
          </cell>
        </row>
        <row r="36">
          <cell r="B36">
            <v>0.96592753758679595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0.95654193205944793</v>
          </cell>
        </row>
        <row r="28">
          <cell r="B28">
            <v>1.0307411053297708</v>
          </cell>
        </row>
        <row r="31">
          <cell r="B31">
            <v>1.0119047619047619</v>
          </cell>
        </row>
        <row r="35">
          <cell r="B35">
            <v>0.90630855715178016</v>
          </cell>
        </row>
        <row r="36">
          <cell r="B36">
            <v>1.0055954631379962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0.92357585502899786</v>
          </cell>
        </row>
        <row r="28">
          <cell r="B28">
            <v>1.0292679102362299</v>
          </cell>
        </row>
        <row r="31">
          <cell r="B31">
            <v>1.1187248622076569</v>
          </cell>
        </row>
        <row r="35">
          <cell r="B35">
            <v>1.0818158168574401</v>
          </cell>
        </row>
        <row r="36">
          <cell r="B36">
            <v>1.0086983100062403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0.8814974324995859</v>
          </cell>
        </row>
        <row r="28">
          <cell r="B28">
            <v>1.0322054955870725</v>
          </cell>
        </row>
        <row r="31">
          <cell r="B31">
            <v>0.87892720306513406</v>
          </cell>
        </row>
        <row r="35">
          <cell r="B35">
            <v>0.96290837632031445</v>
          </cell>
        </row>
        <row r="36">
          <cell r="B36">
            <v>0.98062293670159317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0.88281622911694513</v>
          </cell>
        </row>
        <row r="28">
          <cell r="B28">
            <v>1.046320433126128</v>
          </cell>
        </row>
        <row r="31">
          <cell r="B31">
            <v>1.4930015552099534</v>
          </cell>
        </row>
        <row r="35">
          <cell r="B35">
            <v>1.1097293343087051</v>
          </cell>
        </row>
        <row r="36">
          <cell r="B36">
            <v>1.0063614431850345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0.97725692720230406</v>
          </cell>
        </row>
        <row r="28">
          <cell r="B28">
            <v>1.0306678684865653</v>
          </cell>
        </row>
        <row r="31">
          <cell r="B31">
            <v>1.153061224489796</v>
          </cell>
        </row>
        <row r="35">
          <cell r="B35">
            <v>0.86166744294364228</v>
          </cell>
        </row>
        <row r="36">
          <cell r="B36">
            <v>1.0168452015435117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0.9627873178567331</v>
          </cell>
        </row>
        <row r="28">
          <cell r="B28">
            <v>1.0279229537216557</v>
          </cell>
        </row>
        <row r="31">
          <cell r="B31">
            <v>1.0721804511278195</v>
          </cell>
        </row>
        <row r="35">
          <cell r="B35">
            <v>0.94845455379253418</v>
          </cell>
        </row>
        <row r="36">
          <cell r="B36">
            <v>1.0020776183278282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0.88315254702732393</v>
          </cell>
        </row>
        <row r="28">
          <cell r="B28">
            <v>0.99315281668222843</v>
          </cell>
        </row>
        <row r="31">
          <cell r="B31">
            <v>1.1252747252747253</v>
          </cell>
        </row>
        <row r="35">
          <cell r="B35">
            <v>0.79689703808180534</v>
          </cell>
        </row>
        <row r="36">
          <cell r="B36">
            <v>0.9573046352957727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1.112694912584659</v>
          </cell>
        </row>
        <row r="28">
          <cell r="B28">
            <v>1.0373483252402573</v>
          </cell>
        </row>
        <row r="31">
          <cell r="B31">
            <v>1.2719568567026194</v>
          </cell>
        </row>
        <row r="35">
          <cell r="B35">
            <v>1.166969696969697</v>
          </cell>
        </row>
        <row r="36">
          <cell r="B36">
            <v>1.0596279672934579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0.96512579006072619</v>
          </cell>
        </row>
        <row r="28">
          <cell r="B28">
            <v>1.0246292958993328</v>
          </cell>
        </row>
        <row r="31">
          <cell r="B31">
            <v>1.3996818452972759</v>
          </cell>
        </row>
        <row r="35">
          <cell r="B35">
            <v>0.98422238918106686</v>
          </cell>
        </row>
        <row r="36">
          <cell r="B36">
            <v>1.0206709061251507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0.99124870612590577</v>
          </cell>
        </row>
        <row r="28">
          <cell r="B28">
            <v>1.0356112439205343</v>
          </cell>
        </row>
        <row r="31">
          <cell r="B31">
            <v>1.146969696969697</v>
          </cell>
        </row>
        <row r="35">
          <cell r="B35">
            <v>1.2058111380145278</v>
          </cell>
        </row>
        <row r="36">
          <cell r="B36">
            <v>1.0324722453697481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0.92597072698681504</v>
          </cell>
        </row>
        <row r="28">
          <cell r="B28">
            <v>0.95724271267102912</v>
          </cell>
        </row>
        <row r="31">
          <cell r="B31">
            <v>1.085820895522388</v>
          </cell>
        </row>
        <row r="35">
          <cell r="B35">
            <v>0.91678975873953716</v>
          </cell>
        </row>
        <row r="36">
          <cell r="B36">
            <v>0.94213365024225249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0.97489239598278332</v>
          </cell>
        </row>
        <row r="28">
          <cell r="B28">
            <v>1.0277783426537874</v>
          </cell>
        </row>
        <row r="31">
          <cell r="B31">
            <v>1.034712950600801</v>
          </cell>
        </row>
        <row r="35">
          <cell r="B35">
            <v>1.2670181068072428</v>
          </cell>
        </row>
        <row r="36">
          <cell r="B36">
            <v>1.0290877279313266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0.94621781115879833</v>
          </cell>
        </row>
        <row r="28">
          <cell r="B28">
            <v>1.0513690845998818</v>
          </cell>
        </row>
        <row r="31">
          <cell r="B31">
            <v>1.7254063301967493</v>
          </cell>
        </row>
        <row r="35">
          <cell r="B35">
            <v>0.86233829631437642</v>
          </cell>
        </row>
        <row r="36">
          <cell r="B36">
            <v>1.0350120258238744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1.0399332306111968</v>
          </cell>
        </row>
        <row r="28">
          <cell r="B28">
            <v>1.0356035001620445</v>
          </cell>
        </row>
        <row r="31">
          <cell r="B31">
            <v>0.97837837837837838</v>
          </cell>
        </row>
        <row r="35">
          <cell r="B35">
            <v>1.0445609436435124</v>
          </cell>
        </row>
        <row r="36">
          <cell r="B36">
            <v>1.0362385321100918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0.95458818720621297</v>
          </cell>
        </row>
        <row r="28">
          <cell r="B28">
            <v>1.0263260588959264</v>
          </cell>
        </row>
        <row r="31">
          <cell r="B31">
            <v>1.1995404059747223</v>
          </cell>
        </row>
        <row r="35">
          <cell r="B35">
            <v>1.0595075239398084</v>
          </cell>
        </row>
        <row r="36">
          <cell r="B36">
            <v>1.0138472046861093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0.93467772333207688</v>
          </cell>
        </row>
        <row r="28">
          <cell r="B28">
            <v>1.0248022132699122</v>
          </cell>
        </row>
        <row r="31">
          <cell r="B31">
            <v>1.275390625</v>
          </cell>
        </row>
        <row r="35">
          <cell r="B35">
            <v>1.2114356232003292</v>
          </cell>
        </row>
        <row r="36">
          <cell r="B36">
            <v>1.0081361549536823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1.0872174155735417</v>
          </cell>
        </row>
        <row r="28">
          <cell r="B28">
            <v>1.0418230000262378</v>
          </cell>
        </row>
        <row r="31">
          <cell r="B31">
            <v>1.352112676056338</v>
          </cell>
        </row>
        <row r="35">
          <cell r="B35">
            <v>1.3984674329501916</v>
          </cell>
        </row>
        <row r="36">
          <cell r="B36">
            <v>1.0687819110138586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0.91543036849661585</v>
          </cell>
        </row>
        <row r="28">
          <cell r="B28">
            <v>1.0186480186480187</v>
          </cell>
        </row>
        <row r="31">
          <cell r="B31">
            <v>1.0818833162743091</v>
          </cell>
        </row>
        <row r="35">
          <cell r="B35">
            <v>1.2463657230298393</v>
          </cell>
        </row>
        <row r="36">
          <cell r="B36">
            <v>0.99667611440350423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0.99152998117773594</v>
          </cell>
        </row>
        <row r="28">
          <cell r="B28">
            <v>1.0458647454228098</v>
          </cell>
        </row>
        <row r="31">
          <cell r="B31">
            <v>1.1388888888888888</v>
          </cell>
        </row>
        <row r="35">
          <cell r="B35">
            <v>0.99928977272727271</v>
          </cell>
        </row>
        <row r="36">
          <cell r="B36">
            <v>1.0267107438016529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0.9160547204249565</v>
          </cell>
        </row>
        <row r="28">
          <cell r="B28">
            <v>1.0360626013164087</v>
          </cell>
        </row>
        <row r="31">
          <cell r="B31">
            <v>1.3234313112361893</v>
          </cell>
        </row>
        <row r="35">
          <cell r="B35">
            <v>1.0308636371888673</v>
          </cell>
        </row>
        <row r="36">
          <cell r="B36">
            <v>1.0090820985899343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0.98549309871859825</v>
          </cell>
        </row>
        <row r="28">
          <cell r="B28">
            <v>1.0182960107166934</v>
          </cell>
        </row>
        <row r="31">
          <cell r="B31">
            <v>1.4190406976744185</v>
          </cell>
        </row>
        <row r="35">
          <cell r="B35">
            <v>0.94643133612014241</v>
          </cell>
        </row>
        <row r="36">
          <cell r="B36">
            <v>1.0164333014561266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0.90577772774603893</v>
          </cell>
        </row>
        <row r="28">
          <cell r="B28">
            <v>0.97039804950442576</v>
          </cell>
        </row>
        <row r="31">
          <cell r="B31">
            <v>1.1056641271944352</v>
          </cell>
        </row>
        <row r="35">
          <cell r="B35">
            <v>1.0432143224611585</v>
          </cell>
        </row>
        <row r="36">
          <cell r="B36">
            <v>0.94857225375458332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0.93634285541274964</v>
          </cell>
        </row>
        <row r="28">
          <cell r="B28">
            <v>1.0346980955388954</v>
          </cell>
        </row>
        <row r="31">
          <cell r="B31">
            <v>1.0902968321277127</v>
          </cell>
        </row>
        <row r="35">
          <cell r="B35">
            <v>1.0753826798070873</v>
          </cell>
        </row>
        <row r="36">
          <cell r="B36">
            <v>1.0120657502643469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0.97542692613185067</v>
          </cell>
        </row>
        <row r="28">
          <cell r="B28">
            <v>1.0284783204279679</v>
          </cell>
        </row>
        <row r="31">
          <cell r="B31">
            <v>0.95413595413595409</v>
          </cell>
        </row>
        <row r="35">
          <cell r="B35">
            <v>1.3999488229273285</v>
          </cell>
        </row>
        <row r="36">
          <cell r="B36">
            <v>1.0315670443016571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0.96645006356830065</v>
          </cell>
        </row>
        <row r="28">
          <cell r="B28">
            <v>1.0464940464940464</v>
          </cell>
        </row>
        <row r="31">
          <cell r="B31">
            <v>1.1080773606370875</v>
          </cell>
        </row>
        <row r="35">
          <cell r="B35">
            <v>1.0083657006274276</v>
          </cell>
        </row>
        <row r="36">
          <cell r="B36">
            <v>1.0195811681794866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0.96623751739199348</v>
          </cell>
        </row>
        <row r="28">
          <cell r="B28">
            <v>1.0388975010169641</v>
          </cell>
        </row>
        <row r="31">
          <cell r="B31">
            <v>1.0708812260536398</v>
          </cell>
        </row>
        <row r="35">
          <cell r="B35">
            <v>0.97835000820075446</v>
          </cell>
        </row>
        <row r="36">
          <cell r="B36">
            <v>1.0094868955334071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1.0012417732522041</v>
          </cell>
        </row>
        <row r="28">
          <cell r="B28">
            <v>0.98273238117536876</v>
          </cell>
        </row>
        <row r="31">
          <cell r="B31">
            <v>1.404320987654321</v>
          </cell>
        </row>
        <row r="35">
          <cell r="B35">
            <v>0.95526914329037149</v>
          </cell>
        </row>
        <row r="36">
          <cell r="B36">
            <v>0.99204630321135179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0.95208458573499766</v>
          </cell>
        </row>
        <row r="28">
          <cell r="B28">
            <v>1.0232645152669206</v>
          </cell>
        </row>
        <row r="31">
          <cell r="B31">
            <v>1.2787965616045844</v>
          </cell>
        </row>
        <row r="35">
          <cell r="B35">
            <v>1.0593345353220784</v>
          </cell>
        </row>
        <row r="36">
          <cell r="B36">
            <v>1.0111256308579668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0.99807400729418516</v>
          </cell>
        </row>
        <row r="28">
          <cell r="B28">
            <v>1.0315021876519204</v>
          </cell>
        </row>
        <row r="31">
          <cell r="B31">
            <v>1.0953846153846154</v>
          </cell>
        </row>
        <row r="35">
          <cell r="B35">
            <v>1.1185993975903614</v>
          </cell>
        </row>
        <row r="36">
          <cell r="B36">
            <v>1.0269014542582353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0.98224241172826765</v>
          </cell>
        </row>
        <row r="28">
          <cell r="B28">
            <v>1.0432770905950215</v>
          </cell>
        </row>
        <row r="31">
          <cell r="B31">
            <v>1.0954653937947494</v>
          </cell>
        </row>
        <row r="35">
          <cell r="B35">
            <v>0.82244071717755929</v>
          </cell>
        </row>
        <row r="36">
          <cell r="B36">
            <v>1.0185398364132081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0.99575060443988572</v>
          </cell>
        </row>
        <row r="28">
          <cell r="B28">
            <v>1.0376899744828361</v>
          </cell>
        </row>
        <row r="31">
          <cell r="B31">
            <v>1.0436802973977695</v>
          </cell>
        </row>
        <row r="35">
          <cell r="B35">
            <v>1.1982053312219583</v>
          </cell>
        </row>
        <row r="36">
          <cell r="B36">
            <v>1.0349060747636896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1.0080377268952425</v>
          </cell>
        </row>
        <row r="28">
          <cell r="B28">
            <v>1.0258498047643552</v>
          </cell>
        </row>
        <row r="31">
          <cell r="B31">
            <v>1.1074043938161107</v>
          </cell>
        </row>
        <row r="35">
          <cell r="B35">
            <v>1.1023335474202527</v>
          </cell>
        </row>
        <row r="36">
          <cell r="B36">
            <v>1.0244961680386035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0.94988034739587535</v>
          </cell>
        </row>
        <row r="28">
          <cell r="B28">
            <v>0.96660063146164799</v>
          </cell>
        </row>
        <row r="31">
          <cell r="B31">
            <v>1.12549642573471</v>
          </cell>
        </row>
        <row r="35">
          <cell r="B35">
            <v>1.0025169409486931</v>
          </cell>
        </row>
        <row r="36">
          <cell r="B36">
            <v>0.96348836290354445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0.81884875846501126</v>
          </cell>
        </row>
        <row r="28">
          <cell r="B28">
            <v>1.0105621569036203</v>
          </cell>
        </row>
        <row r="31">
          <cell r="B31">
            <v>1.0720221606648199</v>
          </cell>
        </row>
        <row r="35">
          <cell r="B35">
            <v>1.1806930693069306</v>
          </cell>
        </row>
        <row r="36">
          <cell r="B36">
            <v>0.94754299754299753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1.0139325228793881</v>
          </cell>
        </row>
        <row r="28">
          <cell r="B28">
            <v>1.0395977237750975</v>
          </cell>
        </row>
        <row r="31">
          <cell r="B31">
            <v>1.2157987126974839</v>
          </cell>
        </row>
        <row r="35">
          <cell r="B35">
            <v>1.0765531979850405</v>
          </cell>
        </row>
        <row r="36">
          <cell r="B36">
            <v>1.0393958929526086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0.94736842105263153</v>
          </cell>
        </row>
        <row r="28">
          <cell r="B28">
            <v>1.0332859174964437</v>
          </cell>
        </row>
        <row r="31">
          <cell r="B31">
            <v>1.8105263157894738</v>
          </cell>
        </row>
        <row r="35">
          <cell r="B35">
            <v>0.75685557586837293</v>
          </cell>
        </row>
        <row r="36">
          <cell r="B36">
            <v>1.0132508833922262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1.0558518567595323</v>
          </cell>
        </row>
        <row r="28">
          <cell r="B28">
            <v>1.0404563329977012</v>
          </cell>
        </row>
        <row r="31">
          <cell r="B31">
            <v>1.2446183953033267</v>
          </cell>
        </row>
        <row r="35">
          <cell r="B35">
            <v>1.0546571136131013</v>
          </cell>
        </row>
        <row r="36">
          <cell r="B36">
            <v>1.0457104861071813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0.96661514683153016</v>
          </cell>
        </row>
        <row r="28">
          <cell r="B28">
            <v>1.0491629332704551</v>
          </cell>
        </row>
        <row r="31">
          <cell r="B31">
            <v>0.94230769230769229</v>
          </cell>
        </row>
        <row r="35">
          <cell r="B35">
            <v>0.98267326732673266</v>
          </cell>
        </row>
        <row r="36">
          <cell r="B36">
            <v>1.0238657652520975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0.9358308333943075</v>
          </cell>
        </row>
        <row r="28">
          <cell r="B28">
            <v>1.0288716128668807</v>
          </cell>
        </row>
        <row r="31">
          <cell r="B31">
            <v>1.3218943033630748</v>
          </cell>
        </row>
        <row r="35">
          <cell r="B35">
            <v>1.011731843575419</v>
          </cell>
        </row>
        <row r="36">
          <cell r="B36">
            <v>1.007806529625151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0.94925670265942486</v>
          </cell>
        </row>
        <row r="28">
          <cell r="B28">
            <v>1.0276595676138871</v>
          </cell>
        </row>
        <row r="31">
          <cell r="B31">
            <v>1.0709666439754935</v>
          </cell>
        </row>
        <row r="35">
          <cell r="B35">
            <v>0.97388853435439271</v>
          </cell>
        </row>
        <row r="36">
          <cell r="B36">
            <v>1.0031177702348988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0.98948405022333208</v>
          </cell>
        </row>
        <row r="28">
          <cell r="B28">
            <v>1.0529884176116873</v>
          </cell>
        </row>
        <row r="31">
          <cell r="B31">
            <v>1.1195312500000001</v>
          </cell>
        </row>
        <row r="35">
          <cell r="B35">
            <v>1.2967396841569028</v>
          </cell>
        </row>
        <row r="36">
          <cell r="B36">
            <v>1.0438116759017753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0.99172973785775154</v>
          </cell>
        </row>
        <row r="28">
          <cell r="B28">
            <v>1.0435314145995909</v>
          </cell>
        </row>
        <row r="31">
          <cell r="B31">
            <v>0.76520781723093867</v>
          </cell>
        </row>
        <row r="35">
          <cell r="B35">
            <v>1.2295908473918946</v>
          </cell>
        </row>
        <row r="36">
          <cell r="B36">
            <v>1.0353323147440794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1.0114711447492903</v>
          </cell>
        </row>
        <row r="28">
          <cell r="B28">
            <v>1.0336279657074501</v>
          </cell>
        </row>
        <row r="31">
          <cell r="B31">
            <v>1.2146118721461188</v>
          </cell>
        </row>
        <row r="35">
          <cell r="B35">
            <v>0.86074672048435918</v>
          </cell>
        </row>
        <row r="36">
          <cell r="B36">
            <v>1.0224209850794159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1.0216266811172965</v>
          </cell>
        </row>
        <row r="28">
          <cell r="B28">
            <v>0.99045657537878018</v>
          </cell>
        </row>
        <row r="31">
          <cell r="B31">
            <v>1.0526068576796619</v>
          </cell>
        </row>
        <row r="35">
          <cell r="B35">
            <v>0.94272872263302887</v>
          </cell>
        </row>
        <row r="36">
          <cell r="B36">
            <v>1.0012872099976688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0.92750981491867635</v>
          </cell>
        </row>
        <row r="28">
          <cell r="B28">
            <v>0.98950069995333645</v>
          </cell>
        </row>
        <row r="31">
          <cell r="B31">
            <v>1.0170068027210883</v>
          </cell>
        </row>
        <row r="35">
          <cell r="B35">
            <v>1.1930164888457808</v>
          </cell>
        </row>
        <row r="36">
          <cell r="B36">
            <v>0.97633448822596747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1.0175787728026533</v>
          </cell>
        </row>
        <row r="28">
          <cell r="B28">
            <v>1.0318232832314163</v>
          </cell>
        </row>
        <row r="31">
          <cell r="B31">
            <v>0.99657729606389045</v>
          </cell>
        </row>
        <row r="35">
          <cell r="B35">
            <v>1.3036834486086537</v>
          </cell>
        </row>
        <row r="36">
          <cell r="B36">
            <v>1.0393322292707574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0.9950454170107349</v>
          </cell>
        </row>
        <row r="28">
          <cell r="B28">
            <v>1.0262134920361898</v>
          </cell>
        </row>
        <row r="31">
          <cell r="B31">
            <v>0.95755517826825132</v>
          </cell>
        </row>
        <row r="35">
          <cell r="B35">
            <v>1.0022669311419665</v>
          </cell>
        </row>
        <row r="36">
          <cell r="B36">
            <v>1.0143834720829883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0.99065877037670191</v>
          </cell>
        </row>
        <row r="28">
          <cell r="B28">
            <v>1.0134037484572773</v>
          </cell>
        </row>
        <row r="31">
          <cell r="B31">
            <v>1.0200471698113207</v>
          </cell>
        </row>
        <row r="35">
          <cell r="B35">
            <v>1.0993261060650454</v>
          </cell>
        </row>
        <row r="36">
          <cell r="B36">
            <v>1.0120762062688127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1.0570930932469296</v>
          </cell>
        </row>
        <row r="28">
          <cell r="B28">
            <v>1.0464215322496988</v>
          </cell>
        </row>
        <row r="31">
          <cell r="B31">
            <v>1.096945551128818</v>
          </cell>
        </row>
        <row r="35">
          <cell r="B35">
            <v>0.95821894303363075</v>
          </cell>
        </row>
        <row r="36">
          <cell r="B36">
            <v>1.0464081687210511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1.0652833650928082</v>
          </cell>
        </row>
        <row r="28">
          <cell r="B28">
            <v>1.0061285356936693</v>
          </cell>
        </row>
        <row r="31">
          <cell r="B31">
            <v>0.63758680555555558</v>
          </cell>
        </row>
        <row r="35">
          <cell r="B35">
            <v>0.99254483175498687</v>
          </cell>
        </row>
        <row r="36">
          <cell r="B36">
            <v>1.0054988050673603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1.0054865257382604</v>
          </cell>
        </row>
        <row r="28">
          <cell r="B28">
            <v>1.0040166019547463</v>
          </cell>
        </row>
        <row r="31">
          <cell r="B31">
            <v>0.93530997304582209</v>
          </cell>
        </row>
        <row r="35">
          <cell r="B35">
            <v>1.0407470288624787</v>
          </cell>
        </row>
        <row r="36">
          <cell r="B36">
            <v>1.004254356189183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1.0019283510455947</v>
          </cell>
        </row>
        <row r="28">
          <cell r="B28">
            <v>1.0192143231537423</v>
          </cell>
        </row>
        <row r="31">
          <cell r="B31">
            <v>1.0502248875562219</v>
          </cell>
        </row>
        <row r="35">
          <cell r="B35">
            <v>0.94533373603141047</v>
          </cell>
        </row>
        <row r="36">
          <cell r="B36">
            <v>1.0131768827317151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1.0269093233713567</v>
          </cell>
        </row>
        <row r="28">
          <cell r="B28">
            <v>1.0149121492648161</v>
          </cell>
        </row>
        <row r="31">
          <cell r="B31">
            <v>1.30142063001853</v>
          </cell>
        </row>
        <row r="35">
          <cell r="B35">
            <v>0.82734806629834257</v>
          </cell>
        </row>
        <row r="36">
          <cell r="B36">
            <v>1.0135301179295249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0.97935594698065076</v>
          </cell>
        </row>
        <row r="28">
          <cell r="B28">
            <v>1.0325796951456163</v>
          </cell>
        </row>
        <row r="31">
          <cell r="B31">
            <v>1.0789283128167995</v>
          </cell>
        </row>
        <row r="35">
          <cell r="B35">
            <v>0.94930398990630238</v>
          </cell>
        </row>
        <row r="36">
          <cell r="B36">
            <v>1.0157752197545677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0.99219841639496975</v>
          </cell>
        </row>
        <row r="28">
          <cell r="B28">
            <v>1.0282709322083554</v>
          </cell>
        </row>
        <row r="31">
          <cell r="B31">
            <v>0.86163934426229505</v>
          </cell>
        </row>
        <row r="35">
          <cell r="B35">
            <v>1.2042946614971668</v>
          </cell>
        </row>
        <row r="36">
          <cell r="B36">
            <v>1.0232255997721933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0.96817742594863787</v>
          </cell>
        </row>
        <row r="28">
          <cell r="B28">
            <v>1.0089504256018704</v>
          </cell>
        </row>
        <row r="31">
          <cell r="B31">
            <v>1.0714148956538387</v>
          </cell>
        </row>
        <row r="35">
          <cell r="B35">
            <v>0.99067471201316515</v>
          </cell>
        </row>
        <row r="36">
          <cell r="B36">
            <v>0.99257283390087025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1.0063503649635037</v>
          </cell>
        </row>
        <row r="28">
          <cell r="B28">
            <v>1.0011803656254499</v>
          </cell>
        </row>
        <row r="31">
          <cell r="B31">
            <v>0.94576719576719581</v>
          </cell>
        </row>
        <row r="35">
          <cell r="B35">
            <v>0.91531531531531529</v>
          </cell>
        </row>
        <row r="36">
          <cell r="B36">
            <v>0.99893817838603116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1.0079413561392792</v>
          </cell>
        </row>
        <row r="28">
          <cell r="B28">
            <v>1.0137078651685394</v>
          </cell>
        </row>
        <row r="31">
          <cell r="B31">
            <v>0.92543227665706052</v>
          </cell>
        </row>
        <row r="35">
          <cell r="B35">
            <v>0.74915476060639108</v>
          </cell>
        </row>
        <row r="36">
          <cell r="B36">
            <v>0.99962797466957198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1.0717603057827463</v>
          </cell>
        </row>
        <row r="28">
          <cell r="B28">
            <v>1.0181493254427469</v>
          </cell>
        </row>
        <row r="31">
          <cell r="B31">
            <v>0.94360269360269355</v>
          </cell>
        </row>
        <row r="35">
          <cell r="B35">
            <v>0.83427922814982969</v>
          </cell>
        </row>
        <row r="36">
          <cell r="B36">
            <v>1.0222831013025633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1.0056036395916557</v>
          </cell>
        </row>
        <row r="28">
          <cell r="B28">
            <v>1.0188310809504475</v>
          </cell>
        </row>
        <row r="31">
          <cell r="B31">
            <v>1.3068844807467912</v>
          </cell>
        </row>
        <row r="35">
          <cell r="B35">
            <v>1.0778715120051914</v>
          </cell>
        </row>
        <row r="36">
          <cell r="B36">
            <v>1.0214151942024265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0.99635219704829159</v>
          </cell>
        </row>
        <row r="28">
          <cell r="B28">
            <v>1.0054272281275551</v>
          </cell>
        </row>
        <row r="31">
          <cell r="B31">
            <v>0.89674620390455528</v>
          </cell>
        </row>
        <row r="35">
          <cell r="B35">
            <v>0.91785630704423127</v>
          </cell>
        </row>
        <row r="36">
          <cell r="B36">
            <v>0.99703522590846538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1.0004242595660431</v>
          </cell>
        </row>
        <row r="28">
          <cell r="B28">
            <v>1.0156117106730425</v>
          </cell>
        </row>
        <row r="31">
          <cell r="B31">
            <v>0.94106359649122806</v>
          </cell>
        </row>
        <row r="35">
          <cell r="B35">
            <v>0.88322091062394603</v>
          </cell>
        </row>
        <row r="36">
          <cell r="B36">
            <v>1.0004273404205497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1.0202692003167062</v>
          </cell>
        </row>
        <row r="28">
          <cell r="B28">
            <v>1.010232465726207</v>
          </cell>
        </row>
        <row r="31">
          <cell r="B31">
            <v>0.89305816135084426</v>
          </cell>
        </row>
        <row r="35">
          <cell r="B35">
            <v>0.97073170731707314</v>
          </cell>
        </row>
        <row r="36">
          <cell r="B36">
            <v>1.0085430698333924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0.98615271952599692</v>
          </cell>
        </row>
        <row r="28">
          <cell r="B28">
            <v>1.0253650616024312</v>
          </cell>
        </row>
        <row r="31">
          <cell r="B31">
            <v>1.3564575645756458</v>
          </cell>
        </row>
        <row r="35">
          <cell r="B35">
            <v>0.96709786276715415</v>
          </cell>
        </row>
        <row r="36">
          <cell r="B36">
            <v>1.0179378598277584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1.0162363519588953</v>
          </cell>
        </row>
        <row r="28">
          <cell r="B28">
            <v>1.0128722736409241</v>
          </cell>
        </row>
        <row r="31">
          <cell r="B31">
            <v>0.95373184734886862</v>
          </cell>
        </row>
        <row r="35">
          <cell r="B35">
            <v>0.86966094231616031</v>
          </cell>
        </row>
        <row r="36">
          <cell r="B36">
            <v>1.0061917735981718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1.0450488737781556</v>
          </cell>
        </row>
        <row r="28">
          <cell r="B28">
            <v>1.0353520954669491</v>
          </cell>
        </row>
        <row r="31">
          <cell r="B31">
            <v>0.90510083036773425</v>
          </cell>
        </row>
        <row r="35">
          <cell r="B35">
            <v>1.1158900836320191</v>
          </cell>
        </row>
        <row r="36">
          <cell r="B36">
            <v>1.0385395537525355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0.94895644283121594</v>
          </cell>
        </row>
        <row r="28">
          <cell r="B28">
            <v>0.96756658815002716</v>
          </cell>
        </row>
        <row r="31">
          <cell r="B31">
            <v>1.2269503546099292</v>
          </cell>
        </row>
        <row r="35">
          <cell r="B35">
            <v>1.0452674897119341</v>
          </cell>
        </row>
        <row r="36">
          <cell r="B36">
            <v>0.96683721811635404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1.0084566596194504</v>
          </cell>
        </row>
        <row r="28">
          <cell r="B28">
            <v>1.0206940649886647</v>
          </cell>
        </row>
        <row r="31">
          <cell r="B31">
            <v>1.1025454545454545</v>
          </cell>
        </row>
        <row r="35">
          <cell r="B35">
            <v>1.0114803625377644</v>
          </cell>
        </row>
        <row r="36">
          <cell r="B36">
            <v>1.0188057671019113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1.0107273007237079</v>
          </cell>
        </row>
        <row r="28">
          <cell r="B28">
            <v>1.0086676313944294</v>
          </cell>
        </row>
        <row r="31">
          <cell r="B31">
            <v>0.59107391910739193</v>
          </cell>
        </row>
        <row r="35">
          <cell r="B35">
            <v>0.88942436412315928</v>
          </cell>
        </row>
        <row r="36">
          <cell r="B36">
            <v>0.98839439861883749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1.0314648334214702</v>
          </cell>
        </row>
        <row r="28">
          <cell r="B28">
            <v>0.99217897417242629</v>
          </cell>
        </row>
        <row r="31">
          <cell r="B31">
            <v>1.1880597014925374</v>
          </cell>
        </row>
        <row r="35">
          <cell r="B35">
            <v>1.0476839237057221</v>
          </cell>
        </row>
        <row r="36">
          <cell r="B36">
            <v>1.0053551020408162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0.96515383307836133</v>
          </cell>
        </row>
        <row r="28">
          <cell r="B28">
            <v>1.0134831786122898</v>
          </cell>
        </row>
        <row r="31">
          <cell r="B31">
            <v>0.97293772416041735</v>
          </cell>
        </row>
        <row r="35">
          <cell r="B35">
            <v>0.91255382577012256</v>
          </cell>
        </row>
        <row r="36">
          <cell r="B36">
            <v>0.99760811618879663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0.98142804892916646</v>
          </cell>
        </row>
        <row r="28">
          <cell r="B28">
            <v>1.0288810232133938</v>
          </cell>
        </row>
        <row r="31">
          <cell r="B31">
            <v>1.3418647166361974</v>
          </cell>
        </row>
        <row r="35">
          <cell r="B35">
            <v>1.2864406779661017</v>
          </cell>
        </row>
        <row r="36">
          <cell r="B36">
            <v>1.0339862956376189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0.96661900913781318</v>
          </cell>
        </row>
        <row r="28">
          <cell r="B28">
            <v>1.0128558960205694</v>
          </cell>
        </row>
        <row r="31">
          <cell r="B31">
            <v>1.0906630581867389</v>
          </cell>
        </row>
        <row r="35">
          <cell r="B35">
            <v>1.0327620967741935</v>
          </cell>
        </row>
        <row r="36">
          <cell r="B36">
            <v>1.0022874695684851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0.94747657405885255</v>
          </cell>
        </row>
        <row r="28">
          <cell r="B28">
            <v>0.98383762450667167</v>
          </cell>
        </row>
        <row r="31">
          <cell r="B31">
            <v>1.0182692307692307</v>
          </cell>
        </row>
        <row r="35">
          <cell r="B35">
            <v>0.99791883454734653</v>
          </cell>
        </row>
        <row r="36">
          <cell r="B36">
            <v>0.97404543386937092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0.9930227922121071</v>
          </cell>
        </row>
        <row r="28">
          <cell r="B28">
            <v>1.029547425004335</v>
          </cell>
        </row>
        <row r="31">
          <cell r="B31">
            <v>1.0847222222222221</v>
          </cell>
        </row>
        <row r="35">
          <cell r="B35">
            <v>0.75616016427104726</v>
          </cell>
        </row>
        <row r="36">
          <cell r="B36">
            <v>0.99707216494845363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1.005614893932651</v>
          </cell>
        </row>
        <row r="28">
          <cell r="B28">
            <v>1.0219806182236808</v>
          </cell>
        </row>
        <row r="31">
          <cell r="B31">
            <v>1.4221164670965101</v>
          </cell>
        </row>
        <row r="35">
          <cell r="B35">
            <v>0.92844810075157425</v>
          </cell>
        </row>
        <row r="36">
          <cell r="B36">
            <v>1.0203244852052691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1.06571155188911</v>
          </cell>
        </row>
        <row r="28">
          <cell r="B28">
            <v>1.0069982547491239</v>
          </cell>
        </row>
        <row r="31">
          <cell r="B31">
            <v>0.68260609683203821</v>
          </cell>
        </row>
        <row r="35">
          <cell r="B35">
            <v>0.87145650048875856</v>
          </cell>
        </row>
        <row r="36">
          <cell r="B36">
            <v>1.0043398083214383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0.93304102961465052</v>
          </cell>
        </row>
        <row r="28">
          <cell r="B28">
            <v>0.99042323560753021</v>
          </cell>
        </row>
        <row r="31">
          <cell r="B31">
            <v>1.0902413431269675</v>
          </cell>
        </row>
        <row r="35">
          <cell r="B35">
            <v>0.89328207944352922</v>
          </cell>
        </row>
        <row r="36">
          <cell r="B36">
            <v>0.96422615768862197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1.0435771349252057</v>
          </cell>
        </row>
        <row r="28">
          <cell r="B28">
            <v>1.0202663249329538</v>
          </cell>
        </row>
        <row r="31">
          <cell r="B31">
            <v>1.2535358826610792</v>
          </cell>
        </row>
        <row r="35">
          <cell r="B35">
            <v>1.1497105045492142</v>
          </cell>
        </row>
        <row r="36">
          <cell r="B36">
            <v>1.0338111323034813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0.98355826906598109</v>
          </cell>
        </row>
        <row r="28">
          <cell r="B28">
            <v>0.99067151747757831</v>
          </cell>
        </row>
        <row r="31">
          <cell r="B31">
            <v>1.2522432701894317</v>
          </cell>
        </row>
        <row r="35">
          <cell r="B35">
            <v>1.1290466622013842</v>
          </cell>
        </row>
        <row r="36">
          <cell r="B36">
            <v>0.99822568124766864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0.99261581330546844</v>
          </cell>
        </row>
        <row r="28">
          <cell r="B28">
            <v>1.0247253616994334</v>
          </cell>
        </row>
        <row r="31">
          <cell r="B31">
            <v>0.78596087456846953</v>
          </cell>
        </row>
        <row r="35">
          <cell r="B35">
            <v>0.94419465749801634</v>
          </cell>
        </row>
        <row r="36">
          <cell r="B36">
            <v>1.0054949399114486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0.98919936402346531</v>
          </cell>
        </row>
        <row r="28">
          <cell r="B28">
            <v>1.0247163939363517</v>
          </cell>
        </row>
        <row r="31">
          <cell r="B31">
            <v>1.0110655737704919</v>
          </cell>
        </row>
        <row r="35">
          <cell r="B35">
            <v>0.79947506561679793</v>
          </cell>
        </row>
        <row r="36">
          <cell r="B36">
            <v>0.99543808493627428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0.94952869585968258</v>
          </cell>
        </row>
        <row r="28">
          <cell r="B28">
            <v>0.98725005616715344</v>
          </cell>
        </row>
        <row r="31">
          <cell r="B31">
            <v>1.4721189591078068</v>
          </cell>
        </row>
        <row r="35">
          <cell r="B35">
            <v>0.94897959183673475</v>
          </cell>
        </row>
        <row r="36">
          <cell r="B36">
            <v>0.9834134187577861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1.0382449302982932</v>
          </cell>
        </row>
        <row r="28">
          <cell r="B28">
            <v>1.0168516861206847</v>
          </cell>
        </row>
        <row r="31">
          <cell r="B31">
            <v>1.2839186691312385</v>
          </cell>
        </row>
        <row r="35">
          <cell r="B35">
            <v>1.0752971205232511</v>
          </cell>
        </row>
        <row r="36">
          <cell r="B36">
            <v>1.0280329123612706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1.0239344526961576</v>
          </cell>
        </row>
        <row r="28">
          <cell r="B28">
            <v>1.0138401720714758</v>
          </cell>
        </row>
        <row r="31">
          <cell r="B31">
            <v>0.94902261402836341</v>
          </cell>
        </row>
        <row r="35">
          <cell r="B35">
            <v>1.0197102066908161</v>
          </cell>
        </row>
        <row r="36">
          <cell r="B36">
            <v>1.0159570677586103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0.97012377294067431</v>
          </cell>
        </row>
        <row r="28">
          <cell r="B28">
            <v>1.0138033615945263</v>
          </cell>
        </row>
        <row r="31">
          <cell r="B31">
            <v>1.1000000000000001</v>
          </cell>
        </row>
        <row r="35">
          <cell r="B35">
            <v>0.82118863049095603</v>
          </cell>
        </row>
        <row r="36">
          <cell r="B36">
            <v>0.99563734433251372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1.0633508294271199</v>
          </cell>
        </row>
        <row r="28">
          <cell r="B28">
            <v>1.0191484534523179</v>
          </cell>
        </row>
        <row r="31">
          <cell r="B31">
            <v>1.2679528403001072</v>
          </cell>
        </row>
        <row r="35">
          <cell r="B35">
            <v>1.0227841432898723</v>
          </cell>
        </row>
        <row r="36">
          <cell r="B36">
            <v>1.0308037627738049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1.0509340677572419</v>
          </cell>
        </row>
        <row r="28">
          <cell r="B28">
            <v>1.0242686713515281</v>
          </cell>
        </row>
        <row r="31">
          <cell r="B31">
            <v>1.010551948051948</v>
          </cell>
        </row>
        <row r="35">
          <cell r="B35">
            <v>1.0754912099276113</v>
          </cell>
        </row>
        <row r="36">
          <cell r="B36">
            <v>1.0337036631640397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0.91147400085947572</v>
          </cell>
        </row>
        <row r="28">
          <cell r="B28">
            <v>1.0043341802421162</v>
          </cell>
        </row>
        <row r="31">
          <cell r="B31">
            <v>1.0815217391304348</v>
          </cell>
        </row>
        <row r="35">
          <cell r="B35">
            <v>1.0421348314606742</v>
          </cell>
        </row>
        <row r="36">
          <cell r="B36">
            <v>0.97029869583508621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0.99360970014746841</v>
          </cell>
        </row>
        <row r="28">
          <cell r="B28">
            <v>1.028231484088989</v>
          </cell>
        </row>
        <row r="31">
          <cell r="B31">
            <v>0.90839694656488545</v>
          </cell>
        </row>
        <row r="35">
          <cell r="B35">
            <v>1.3899755501222495</v>
          </cell>
        </row>
        <row r="36">
          <cell r="B36">
            <v>1.029974904730923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1.0142712165419256</v>
          </cell>
        </row>
        <row r="28">
          <cell r="B28">
            <v>1.0203594331406856</v>
          </cell>
        </row>
        <row r="31">
          <cell r="B31">
            <v>0.84408656265727222</v>
          </cell>
        </row>
        <row r="35">
          <cell r="B35">
            <v>0.9016382014639247</v>
          </cell>
        </row>
        <row r="36">
          <cell r="B36">
            <v>1.0109672105709204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0.96823899371069178</v>
          </cell>
        </row>
        <row r="28">
          <cell r="B28">
            <v>0.99336374948154293</v>
          </cell>
        </row>
        <row r="31">
          <cell r="B31">
            <v>1.2956730769230769</v>
          </cell>
        </row>
        <row r="35">
          <cell r="B35">
            <v>0.72852233676975942</v>
          </cell>
        </row>
        <row r="36">
          <cell r="B36">
            <v>0.98387520813250373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1.0049500651324359</v>
          </cell>
        </row>
        <row r="28">
          <cell r="B28">
            <v>1.0251882442992684</v>
          </cell>
        </row>
        <row r="31">
          <cell r="B31">
            <v>1.0725022104332449</v>
          </cell>
        </row>
        <row r="35">
          <cell r="B35">
            <v>1.0915553640672124</v>
          </cell>
        </row>
        <row r="36">
          <cell r="B36">
            <v>1.0229773632362189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0.93718814206046375</v>
          </cell>
        </row>
        <row r="28">
          <cell r="B28">
            <v>1.0155005382131324</v>
          </cell>
        </row>
        <row r="31">
          <cell r="B31">
            <v>0.95569620253164556</v>
          </cell>
        </row>
        <row r="35">
          <cell r="B35">
            <v>1.0307328605200945</v>
          </cell>
        </row>
        <row r="36">
          <cell r="B36">
            <v>0.99517999698749815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0.93820049813200501</v>
          </cell>
        </row>
        <row r="28">
          <cell r="B28">
            <v>1.0036414972358925</v>
          </cell>
        </row>
        <row r="31">
          <cell r="B31">
            <v>1.297583081570997</v>
          </cell>
        </row>
        <row r="35">
          <cell r="B35">
            <v>1.1849255039439088</v>
          </cell>
        </row>
        <row r="36">
          <cell r="B36">
            <v>0.99731729357280019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1.0151449662268102</v>
          </cell>
        </row>
        <row r="28">
          <cell r="B28">
            <v>1.0027153657757428</v>
          </cell>
        </row>
        <row r="31">
          <cell r="B31">
            <v>1.2051139521956642</v>
          </cell>
        </row>
        <row r="35">
          <cell r="B35">
            <v>0.81709336993043391</v>
          </cell>
        </row>
        <row r="36">
          <cell r="B36">
            <v>0.99989017751871645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0.96799938900981408</v>
          </cell>
        </row>
        <row r="28">
          <cell r="B28">
            <v>1.037782404194618</v>
          </cell>
        </row>
        <row r="31">
          <cell r="B31">
            <v>1.220808383233533</v>
          </cell>
        </row>
        <row r="35">
          <cell r="B35">
            <v>1.1430886779347071</v>
          </cell>
        </row>
        <row r="36">
          <cell r="B36">
            <v>1.024307795217277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0.98143993473383639</v>
          </cell>
        </row>
        <row r="28">
          <cell r="B28">
            <v>1.0196107436444708</v>
          </cell>
        </row>
        <row r="31">
          <cell r="B31">
            <v>0.91183206106870229</v>
          </cell>
        </row>
        <row r="35">
          <cell r="B35">
            <v>1.0231840620592383</v>
          </cell>
        </row>
        <row r="36">
          <cell r="B36">
            <v>1.0078468511127647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0.97443643969323723</v>
          </cell>
        </row>
        <row r="28">
          <cell r="B28">
            <v>1.0068455134135059</v>
          </cell>
        </row>
        <row r="31">
          <cell r="B31">
            <v>0.87593984962406013</v>
          </cell>
        </row>
        <row r="35">
          <cell r="B35">
            <v>0.95947219604147027</v>
          </cell>
        </row>
        <row r="36">
          <cell r="B36">
            <v>0.991746800938896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0.89471520201743326</v>
          </cell>
        </row>
        <row r="28">
          <cell r="B28">
            <v>0.86905531714772799</v>
          </cell>
        </row>
        <row r="31">
          <cell r="B31">
            <v>0.94602479941648432</v>
          </cell>
        </row>
        <row r="35">
          <cell r="B35">
            <v>1.1208619612742037</v>
          </cell>
        </row>
        <row r="36">
          <cell r="B36">
            <v>0.89366916632257554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0.98574809221197057</v>
          </cell>
        </row>
        <row r="28">
          <cell r="B28">
            <v>1.0113500183224553</v>
          </cell>
        </row>
        <row r="31">
          <cell r="B31">
            <v>1.0322188449848024</v>
          </cell>
        </row>
        <row r="35">
          <cell r="B35">
            <v>1.0581097478765</v>
          </cell>
        </row>
        <row r="36">
          <cell r="B36">
            <v>1.007409916011921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1.037986542883911</v>
          </cell>
        </row>
        <row r="28">
          <cell r="B28">
            <v>1.0221283029240971</v>
          </cell>
        </row>
        <row r="31">
          <cell r="B31">
            <v>1.1065737051792828</v>
          </cell>
        </row>
        <row r="35">
          <cell r="B35">
            <v>0.85666666666666669</v>
          </cell>
        </row>
        <row r="36">
          <cell r="B36">
            <v>1.012921299513551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1.0548221885594748</v>
          </cell>
        </row>
        <row r="28">
          <cell r="B28">
            <v>1.0082660462570139</v>
          </cell>
        </row>
        <row r="31">
          <cell r="B31">
            <v>1.3654485049833887</v>
          </cell>
        </row>
        <row r="35">
          <cell r="B35">
            <v>0.78846153846153844</v>
          </cell>
        </row>
        <row r="36">
          <cell r="B36">
            <v>1.0079967009126281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1.1240291229349868</v>
          </cell>
        </row>
        <row r="28">
          <cell r="B28">
            <v>1.0260376710368122</v>
          </cell>
        </row>
        <row r="31">
          <cell r="B31">
            <v>1.2690371302706105</v>
          </cell>
        </row>
        <row r="35">
          <cell r="B35">
            <v>0.93648736228127027</v>
          </cell>
        </row>
        <row r="36">
          <cell r="B36">
            <v>1.0457250297248248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1.2141597379692617</v>
          </cell>
        </row>
        <row r="28">
          <cell r="B28">
            <v>1.0141983438272384</v>
          </cell>
        </row>
        <row r="31">
          <cell r="B31">
            <v>1.1313213703099512</v>
          </cell>
        </row>
        <row r="35">
          <cell r="B35">
            <v>0.80411535968891767</v>
          </cell>
        </row>
        <row r="36">
          <cell r="B36">
            <v>1.045068414083455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1.0096803652968036</v>
          </cell>
        </row>
        <row r="28">
          <cell r="B28">
            <v>0.95552025416997621</v>
          </cell>
        </row>
        <row r="31">
          <cell r="B31">
            <v>1.1598837209302326</v>
          </cell>
        </row>
        <row r="35">
          <cell r="B35">
            <v>1.0796460176991149</v>
          </cell>
        </row>
        <row r="36">
          <cell r="B36">
            <v>0.97639435315899092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1.0295893719806763</v>
          </cell>
        </row>
        <row r="28">
          <cell r="B28">
            <v>1.0129138617942024</v>
          </cell>
        </row>
        <row r="31">
          <cell r="B31">
            <v>1.0012812299807816</v>
          </cell>
        </row>
        <row r="35">
          <cell r="B35">
            <v>0.88733823902562803</v>
          </cell>
        </row>
        <row r="36">
          <cell r="B36">
            <v>1.0113704668403125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1.1610510112455639</v>
          </cell>
        </row>
        <row r="28">
          <cell r="B28">
            <v>1.0211336053099382</v>
          </cell>
        </row>
        <row r="31">
          <cell r="B31">
            <v>1.2404268675455117</v>
          </cell>
        </row>
        <row r="35">
          <cell r="B35">
            <v>0.83465246798100445</v>
          </cell>
        </row>
        <row r="36">
          <cell r="B36">
            <v>1.0475763100962674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1.040461864170706</v>
          </cell>
        </row>
        <row r="28">
          <cell r="B28">
            <v>1.0288017636315741</v>
          </cell>
        </row>
        <row r="31">
          <cell r="B31">
            <v>1.2067838629704755</v>
          </cell>
        </row>
        <row r="35">
          <cell r="B35">
            <v>0.87116517772286639</v>
          </cell>
        </row>
        <row r="36">
          <cell r="B36">
            <v>1.0244076877472215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1.0427709262660718</v>
          </cell>
        </row>
        <row r="28">
          <cell r="B28">
            <v>1.0215283337781336</v>
          </cell>
        </row>
        <row r="31">
          <cell r="B31">
            <v>0.96507352941176472</v>
          </cell>
        </row>
        <row r="35">
          <cell r="B35">
            <v>0.77835172575722</v>
          </cell>
        </row>
        <row r="36">
          <cell r="B36">
            <v>1.0072909378797363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0.94346570621293513</v>
          </cell>
        </row>
        <row r="28">
          <cell r="B28">
            <v>0.97266887353944553</v>
          </cell>
        </row>
        <row r="31">
          <cell r="B31">
            <v>1.0223880597014925</v>
          </cell>
        </row>
        <row r="35">
          <cell r="B35">
            <v>0.89452383331667829</v>
          </cell>
        </row>
        <row r="36">
          <cell r="B36">
            <v>0.95622434645185361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1.011018175969117</v>
          </cell>
        </row>
        <row r="28">
          <cell r="B28">
            <v>0.98210145337329635</v>
          </cell>
        </row>
        <row r="31">
          <cell r="B31">
            <v>0.96010638297872342</v>
          </cell>
        </row>
        <row r="35">
          <cell r="B35">
            <v>0.87815126050420167</v>
          </cell>
        </row>
        <row r="36">
          <cell r="B36">
            <v>0.98497700967179325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1.1149673127652253</v>
          </cell>
        </row>
        <row r="28">
          <cell r="B28">
            <v>1.00237837600312</v>
          </cell>
        </row>
        <row r="31">
          <cell r="B31">
            <v>1.0200839875844441</v>
          </cell>
        </row>
        <row r="35">
          <cell r="B35">
            <v>0.96818955360649295</v>
          </cell>
        </row>
        <row r="36">
          <cell r="B36">
            <v>1.0222475373584401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1.1074642214414261</v>
          </cell>
        </row>
        <row r="28">
          <cell r="B28">
            <v>1.0231450614344224</v>
          </cell>
        </row>
        <row r="31">
          <cell r="B31">
            <v>1.0683690280065898</v>
          </cell>
        </row>
        <row r="35">
          <cell r="B35">
            <v>0.7218890554722639</v>
          </cell>
        </row>
        <row r="36">
          <cell r="B36">
            <v>1.0271616641355761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1.0872072072072072</v>
          </cell>
        </row>
        <row r="28">
          <cell r="B28">
            <v>1.0214582546278805</v>
          </cell>
        </row>
        <row r="31">
          <cell r="B31">
            <v>1.2888643880926129</v>
          </cell>
        </row>
        <row r="35">
          <cell r="B35">
            <v>0.76209896682979883</v>
          </cell>
        </row>
        <row r="36">
          <cell r="B36">
            <v>1.0266262217728346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1.0939705882352941</v>
          </cell>
        </row>
        <row r="28">
          <cell r="B28">
            <v>1.0196851552155364</v>
          </cell>
        </row>
        <row r="31">
          <cell r="B31">
            <v>0.94541075729194546</v>
          </cell>
        </row>
        <row r="35">
          <cell r="B35">
            <v>0.74087363494539782</v>
          </cell>
        </row>
        <row r="36">
          <cell r="B36">
            <v>1.019367991845056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1.042137741046832</v>
          </cell>
        </row>
        <row r="28">
          <cell r="B28">
            <v>0.97214766938708441</v>
          </cell>
        </row>
        <row r="31">
          <cell r="B31">
            <v>1.0797672030126668</v>
          </cell>
        </row>
        <row r="35">
          <cell r="B35">
            <v>0.86819484240687683</v>
          </cell>
        </row>
        <row r="36">
          <cell r="B36">
            <v>0.98520461267957637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1.1205223222163403</v>
          </cell>
        </row>
        <row r="28">
          <cell r="B28">
            <v>0.9917727338721386</v>
          </cell>
        </row>
        <row r="31">
          <cell r="B31">
            <v>1.1448979591836734</v>
          </cell>
        </row>
        <row r="35">
          <cell r="B35">
            <v>0.76434001382170003</v>
          </cell>
        </row>
        <row r="36">
          <cell r="B36">
            <v>1.008596596738246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1.0311030997066413</v>
          </cell>
        </row>
        <row r="28">
          <cell r="B28">
            <v>1.0312576131512885</v>
          </cell>
        </row>
        <row r="31">
          <cell r="B31">
            <v>1.1810228802153433</v>
          </cell>
        </row>
        <row r="35">
          <cell r="B35">
            <v>0.92274158391862438</v>
          </cell>
        </row>
        <row r="36">
          <cell r="B36">
            <v>1.0294660878917057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1.0946507722379759</v>
          </cell>
        </row>
        <row r="28">
          <cell r="B28">
            <v>1.0052794905896103</v>
          </cell>
        </row>
        <row r="31">
          <cell r="B31">
            <v>1.3750465549348232</v>
          </cell>
        </row>
        <row r="35">
          <cell r="B35">
            <v>0.81451787648970753</v>
          </cell>
        </row>
        <row r="36">
          <cell r="B36">
            <v>1.0164467014225271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1.0408864265927977</v>
          </cell>
        </row>
        <row r="28">
          <cell r="B28">
            <v>1.0254798025955036</v>
          </cell>
        </row>
        <row r="31">
          <cell r="B31">
            <v>2.2172523961661343</v>
          </cell>
        </row>
        <row r="35">
          <cell r="B35">
            <v>0.98863157894736842</v>
          </cell>
        </row>
        <row r="36">
          <cell r="B36">
            <v>1.045732713745207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0.97246601818700296</v>
          </cell>
        </row>
        <row r="28">
          <cell r="B28">
            <v>0.99446153846153851</v>
          </cell>
        </row>
        <row r="31">
          <cell r="B31">
            <v>0.99335548172757471</v>
          </cell>
        </row>
        <row r="35">
          <cell r="B35">
            <v>0.99388586956521741</v>
          </cell>
        </row>
        <row r="36">
          <cell r="B36">
            <v>0.98312106049775816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1.0525343493822885</v>
          </cell>
        </row>
        <row r="28">
          <cell r="B28">
            <v>1.0182247660579631</v>
          </cell>
        </row>
        <row r="31">
          <cell r="B31">
            <v>1.3710546574287914</v>
          </cell>
        </row>
        <row r="35">
          <cell r="B35">
            <v>0.71527064691213149</v>
          </cell>
        </row>
        <row r="36">
          <cell r="B36">
            <v>1.005641643781144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1.1601090103900529</v>
          </cell>
        </row>
        <row r="28">
          <cell r="B28">
            <v>1.0284094964809343</v>
          </cell>
        </row>
        <row r="31">
          <cell r="B31">
            <v>0.86809357889497263</v>
          </cell>
        </row>
        <row r="35">
          <cell r="B35">
            <v>0.75820379965457685</v>
          </cell>
        </row>
        <row r="36">
          <cell r="B36">
            <v>1.0380380273575041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1.0683865683865683</v>
          </cell>
        </row>
        <row r="28">
          <cell r="B28">
            <v>1.0034766697163768</v>
          </cell>
        </row>
        <row r="31">
          <cell r="B31">
            <v>1.4619565217391304</v>
          </cell>
        </row>
        <row r="35">
          <cell r="B35">
            <v>0.70879120879120883</v>
          </cell>
        </row>
        <row r="36">
          <cell r="B36">
            <v>1.0139985642498206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1.1192282894410555</v>
          </cell>
        </row>
        <row r="28">
          <cell r="B28">
            <v>1.0037438311872482</v>
          </cell>
        </row>
        <row r="31">
          <cell r="B31">
            <v>0.8617731172545281</v>
          </cell>
        </row>
        <row r="35">
          <cell r="B35">
            <v>0.89770773638968482</v>
          </cell>
        </row>
        <row r="36">
          <cell r="B36">
            <v>1.0192774055653746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1.0518625330449412</v>
          </cell>
        </row>
        <row r="28">
          <cell r="B28">
            <v>1.0352815926753967</v>
          </cell>
        </row>
        <row r="31">
          <cell r="B31">
            <v>1.5299714557564223</v>
          </cell>
        </row>
        <row r="35">
          <cell r="B35">
            <v>0.70535576477851525</v>
          </cell>
        </row>
        <row r="36">
          <cell r="B36">
            <v>1.0183798140770253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1.1014397905759161</v>
          </cell>
        </row>
        <row r="28">
          <cell r="B28">
            <v>1.0076627465506065</v>
          </cell>
        </row>
        <row r="31">
          <cell r="B31">
            <v>0.94972826086956519</v>
          </cell>
        </row>
        <row r="35">
          <cell r="B35">
            <v>0.80538783093358102</v>
          </cell>
        </row>
        <row r="36">
          <cell r="B36">
            <v>1.023221706184307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1.0247146580390043</v>
          </cell>
        </row>
        <row r="28">
          <cell r="B28">
            <v>1.0203238977840987</v>
          </cell>
        </row>
        <row r="31">
          <cell r="B31">
            <v>0.84951974386339379</v>
          </cell>
        </row>
        <row r="35">
          <cell r="B35">
            <v>0.7525525525525526</v>
          </cell>
        </row>
        <row r="36">
          <cell r="B36">
            <v>0.99335860826544053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0.99807252998286689</v>
          </cell>
        </row>
        <row r="28">
          <cell r="B28">
            <v>0.99192761763815551</v>
          </cell>
        </row>
        <row r="31">
          <cell r="B31">
            <v>1.5278745644599303</v>
          </cell>
        </row>
        <row r="35">
          <cell r="B35">
            <v>0.80234505862646566</v>
          </cell>
        </row>
        <row r="36">
          <cell r="B36">
            <v>0.98596930786094583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1.0901293446350042</v>
          </cell>
        </row>
        <row r="28">
          <cell r="B28">
            <v>1.0213127354506895</v>
          </cell>
        </row>
        <row r="31">
          <cell r="B31">
            <v>1.5122998011095992</v>
          </cell>
        </row>
        <row r="35">
          <cell r="B35">
            <v>0.87651532024563306</v>
          </cell>
        </row>
        <row r="36">
          <cell r="B36">
            <v>1.0348649968232706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1.1865481704009679</v>
          </cell>
        </row>
        <row r="28">
          <cell r="B28">
            <v>1.0100446908476928</v>
          </cell>
        </row>
        <row r="31">
          <cell r="B31">
            <v>1.1938669438669438</v>
          </cell>
        </row>
        <row r="35">
          <cell r="B35">
            <v>0.81352663430205496</v>
          </cell>
        </row>
        <row r="36">
          <cell r="B36">
            <v>1.0344965813688567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0.96195571682464454</v>
          </cell>
        </row>
        <row r="28">
          <cell r="B28">
            <v>1.0026777265497595</v>
          </cell>
        </row>
        <row r="31">
          <cell r="B31">
            <v>1.009453781512605</v>
          </cell>
        </row>
        <row r="35">
          <cell r="B35">
            <v>0.93228706159740637</v>
          </cell>
        </row>
        <row r="36">
          <cell r="B36">
            <v>0.97630936296271431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1.0952404111143534</v>
          </cell>
        </row>
        <row r="28">
          <cell r="B28">
            <v>1.0055566755056575</v>
          </cell>
        </row>
        <row r="31">
          <cell r="B31">
            <v>1.7489099769171583</v>
          </cell>
        </row>
        <row r="35">
          <cell r="B35">
            <v>0.9273086242484071</v>
          </cell>
        </row>
        <row r="36">
          <cell r="B36">
            <v>1.0335320830973873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1.0386537820726425</v>
          </cell>
        </row>
        <row r="28">
          <cell r="B28">
            <v>1.0137267978214961</v>
          </cell>
        </row>
        <row r="31">
          <cell r="B31">
            <v>1.4565050038491147</v>
          </cell>
        </row>
        <row r="35">
          <cell r="B35">
            <v>0.75475923852183646</v>
          </cell>
        </row>
        <row r="36">
          <cell r="B36">
            <v>1.0099649209946295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0.97136748873787893</v>
          </cell>
        </row>
        <row r="28">
          <cell r="B28">
            <v>1.0351339771266603</v>
          </cell>
        </row>
        <row r="31">
          <cell r="B31">
            <v>1.2682119205298013</v>
          </cell>
        </row>
        <row r="35">
          <cell r="B35">
            <v>0.94338515693751834</v>
          </cell>
        </row>
        <row r="36">
          <cell r="B36">
            <v>1.0139090851615351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1.0578110263225584</v>
          </cell>
        </row>
        <row r="28">
          <cell r="B28">
            <v>1.0123078378506221</v>
          </cell>
        </row>
        <row r="31">
          <cell r="B31">
            <v>1.1420718816067654</v>
          </cell>
        </row>
        <row r="35">
          <cell r="B35">
            <v>0.83650909090909087</v>
          </cell>
        </row>
        <row r="36">
          <cell r="B36">
            <v>1.012381879481457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0.9988114693210518</v>
          </cell>
        </row>
        <row r="28">
          <cell r="B28">
            <v>1.0052167156889948</v>
          </cell>
        </row>
        <row r="31">
          <cell r="B31">
            <v>0.84153846153846157</v>
          </cell>
        </row>
        <row r="35">
          <cell r="B35">
            <v>1.0071151358344115</v>
          </cell>
        </row>
        <row r="36">
          <cell r="B36">
            <v>0.99977733244266309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1.1498516651424238</v>
          </cell>
        </row>
        <row r="28">
          <cell r="B28">
            <v>1.0174532042648003</v>
          </cell>
        </row>
        <row r="31">
          <cell r="B31">
            <v>1.1347611202635914</v>
          </cell>
        </row>
        <row r="35">
          <cell r="B35">
            <v>0.91769605421048916</v>
          </cell>
        </row>
        <row r="36">
          <cell r="B36">
            <v>1.0395355679786342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1.0418491917013186</v>
          </cell>
        </row>
        <row r="28">
          <cell r="B28">
            <v>0.99071588893597651</v>
          </cell>
        </row>
        <row r="31">
          <cell r="B31">
            <v>1.2022922636103153</v>
          </cell>
        </row>
        <row r="35">
          <cell r="B35">
            <v>0.91782304891250865</v>
          </cell>
        </row>
        <row r="36">
          <cell r="B36">
            <v>1.0011774344950326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1.0488083578191316</v>
          </cell>
        </row>
        <row r="28">
          <cell r="B28">
            <v>1.0091166578155426</v>
          </cell>
        </row>
        <row r="31">
          <cell r="B31">
            <v>1.2720403022670026</v>
          </cell>
        </row>
        <row r="35">
          <cell r="B35">
            <v>0.73759791122715401</v>
          </cell>
        </row>
        <row r="36">
          <cell r="B36">
            <v>1.0105609488606362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1.1940925905167583</v>
          </cell>
        </row>
        <row r="28">
          <cell r="B28">
            <v>1.023323076923077</v>
          </cell>
        </row>
        <row r="31">
          <cell r="B31">
            <v>1.1612200435729847</v>
          </cell>
        </row>
        <row r="35">
          <cell r="B35">
            <v>0.78864318257584176</v>
          </cell>
        </row>
        <row r="36">
          <cell r="B36">
            <v>1.0476104374555029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1.0586967335433592</v>
          </cell>
        </row>
        <row r="28">
          <cell r="B28">
            <v>1.0279092027895529</v>
          </cell>
        </row>
        <row r="31">
          <cell r="B31">
            <v>1.2930310663308144</v>
          </cell>
        </row>
        <row r="35">
          <cell r="B35">
            <v>0.82816901408450705</v>
          </cell>
        </row>
        <row r="36">
          <cell r="B36">
            <v>1.0282596302630507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0.88435619735258719</v>
          </cell>
        </row>
        <row r="28">
          <cell r="B28">
            <v>0.94721794589839459</v>
          </cell>
        </row>
        <row r="31">
          <cell r="B31">
            <v>1.0155763239875388</v>
          </cell>
        </row>
        <row r="35">
          <cell r="B35">
            <v>1.0376301040832665</v>
          </cell>
        </row>
        <row r="36">
          <cell r="B36">
            <v>0.92679456097818069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1.1178087571176125</v>
          </cell>
        </row>
        <row r="28">
          <cell r="B28">
            <v>1.0018514844938173</v>
          </cell>
        </row>
        <row r="31">
          <cell r="B31">
            <v>1.0271604938271606</v>
          </cell>
        </row>
        <row r="35">
          <cell r="B35">
            <v>0.70159262363788766</v>
          </cell>
        </row>
        <row r="36">
          <cell r="B36">
            <v>1.0129733198863116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1.1075408886959039</v>
          </cell>
        </row>
        <row r="28">
          <cell r="B28">
            <v>1.0149155368643041</v>
          </cell>
        </row>
        <row r="31">
          <cell r="B31">
            <v>1.3095500966050235</v>
          </cell>
        </row>
        <row r="35">
          <cell r="B35">
            <v>0.70867825228879999</v>
          </cell>
        </row>
        <row r="36">
          <cell r="B36">
            <v>1.0219217991796852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1.0489604292421193</v>
          </cell>
        </row>
        <row r="28">
          <cell r="B28">
            <v>1.0001299883010528</v>
          </cell>
        </row>
        <row r="31">
          <cell r="B31">
            <v>0.85767790262172283</v>
          </cell>
        </row>
        <row r="35">
          <cell r="B35">
            <v>0.69595782073813706</v>
          </cell>
        </row>
        <row r="36">
          <cell r="B36">
            <v>0.99133978604177275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1.0816813509544787</v>
          </cell>
        </row>
        <row r="28">
          <cell r="B28">
            <v>1.0390123287200796</v>
          </cell>
        </row>
        <row r="31">
          <cell r="B31">
            <v>1.1490384615384615</v>
          </cell>
        </row>
        <row r="35">
          <cell r="B35">
            <v>1.0149073327961322</v>
          </cell>
        </row>
        <row r="36">
          <cell r="B36">
            <v>1.0481026670785707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1.0073726541554959</v>
          </cell>
        </row>
        <row r="28">
          <cell r="B28">
            <v>0.99881235154394299</v>
          </cell>
        </row>
        <row r="31">
          <cell r="B31">
            <v>1.1323529411764706</v>
          </cell>
        </row>
        <row r="35">
          <cell r="B35">
            <v>0.92868719611021067</v>
          </cell>
        </row>
        <row r="36">
          <cell r="B36">
            <v>0.99954082804010103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1.1081372457110716</v>
          </cell>
        </row>
        <row r="28">
          <cell r="B28">
            <v>0.988849765258216</v>
          </cell>
        </row>
        <row r="31">
          <cell r="B31">
            <v>1.2921174652241112</v>
          </cell>
        </row>
        <row r="35">
          <cell r="B35">
            <v>1.0861086765994741</v>
          </cell>
        </row>
        <row r="36">
          <cell r="B36">
            <v>1.0214013401109057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1.0525252525252524</v>
          </cell>
        </row>
        <row r="28">
          <cell r="B28">
            <v>0.99874937687484144</v>
          </cell>
        </row>
        <row r="31">
          <cell r="B31">
            <v>1.2454962910632286</v>
          </cell>
        </row>
        <row r="35">
          <cell r="B35">
            <v>0.78317795732338924</v>
          </cell>
        </row>
        <row r="36">
          <cell r="B36">
            <v>1.0031074171976897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1.0469989453895181</v>
          </cell>
        </row>
        <row r="28">
          <cell r="B28">
            <v>1.0519353529390059</v>
          </cell>
        </row>
        <row r="31">
          <cell r="B31">
            <v>1.3143393863494051</v>
          </cell>
        </row>
        <row r="35">
          <cell r="B35">
            <v>0.95149324709910599</v>
          </cell>
        </row>
        <row r="36">
          <cell r="B36">
            <v>1.0493211850600375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1.044416657605741</v>
          </cell>
        </row>
        <row r="28">
          <cell r="B28">
            <v>1.0155232849273912</v>
          </cell>
        </row>
        <row r="31">
          <cell r="B31">
            <v>1.1360415682569673</v>
          </cell>
        </row>
        <row r="35">
          <cell r="B35">
            <v>0.69825968816717343</v>
          </cell>
        </row>
        <row r="36">
          <cell r="B36">
            <v>0.99227038103390142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1.007958615200955</v>
          </cell>
        </row>
        <row r="28">
          <cell r="B28">
            <v>1.0478199718706047</v>
          </cell>
        </row>
        <row r="31">
          <cell r="B31">
            <v>1.1331521739130435</v>
          </cell>
        </row>
        <row r="35">
          <cell r="B35">
            <v>0.8089887640449438</v>
          </cell>
        </row>
        <row r="36">
          <cell r="B36">
            <v>1.0248486032428208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0.897887323943662</v>
          </cell>
        </row>
        <row r="28">
          <cell r="B28">
            <v>0.89101123595505616</v>
          </cell>
        </row>
        <row r="31">
          <cell r="B31">
            <v>0.96283783783783783</v>
          </cell>
        </row>
        <row r="35">
          <cell r="B35">
            <v>0.77751756440281028</v>
          </cell>
        </row>
        <row r="36">
          <cell r="B36">
            <v>0.88888888888888884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0.88556334491693955</v>
          </cell>
        </row>
        <row r="28">
          <cell r="B28">
            <v>1.0070276497695851</v>
          </cell>
        </row>
        <row r="31">
          <cell r="B31">
            <v>1.1193390452876377</v>
          </cell>
        </row>
        <row r="35">
          <cell r="B35">
            <v>1.0741498740554156</v>
          </cell>
        </row>
        <row r="36">
          <cell r="B36">
            <v>0.96115718516143733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1.0725219339182379</v>
          </cell>
        </row>
        <row r="28">
          <cell r="B28">
            <v>1.0084175084175084</v>
          </cell>
        </row>
        <row r="31">
          <cell r="B31">
            <v>1.2524084778420039</v>
          </cell>
        </row>
        <row r="35">
          <cell r="B35">
            <v>0.8305821994200312</v>
          </cell>
        </row>
        <row r="36">
          <cell r="B36">
            <v>1.0143800709134869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0.94782074892572132</v>
          </cell>
        </row>
        <row r="28">
          <cell r="B28">
            <v>1.0028019613729611</v>
          </cell>
        </row>
        <row r="31">
          <cell r="B31">
            <v>1.205223880597015</v>
          </cell>
        </row>
        <row r="35">
          <cell r="B35">
            <v>1.0017191977077364</v>
          </cell>
        </row>
        <row r="36">
          <cell r="B36">
            <v>0.99222247913732575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1.0098490662573549</v>
          </cell>
        </row>
        <row r="28">
          <cell r="B28">
            <v>1.0053535216979856</v>
          </cell>
        </row>
        <row r="31">
          <cell r="B31">
            <v>1.1049270072992701</v>
          </cell>
        </row>
        <row r="35">
          <cell r="B35">
            <v>0.85505011565150346</v>
          </cell>
        </row>
        <row r="36">
          <cell r="B36">
            <v>0.9983162060824885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1.0226345128161909</v>
          </cell>
        </row>
        <row r="28">
          <cell r="B28">
            <v>1.0030415342107608</v>
          </cell>
        </row>
        <row r="31">
          <cell r="B31">
            <v>1.27318763326226</v>
          </cell>
        </row>
        <row r="35">
          <cell r="B35">
            <v>0.83570252880442919</v>
          </cell>
        </row>
        <row r="36">
          <cell r="B36">
            <v>1.0041358888506939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1.0092484160586133</v>
          </cell>
        </row>
        <row r="28">
          <cell r="B28">
            <v>1.0011619918406121</v>
          </cell>
        </row>
        <row r="31">
          <cell r="B31">
            <v>1.3937007874015748</v>
          </cell>
        </row>
        <row r="35">
          <cell r="B35">
            <v>0.75669444937045571</v>
          </cell>
        </row>
        <row r="36">
          <cell r="B36">
            <v>1.0001444215602553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0.98350851757883295</v>
          </cell>
        </row>
        <row r="28">
          <cell r="B28">
            <v>0.97751559701031565</v>
          </cell>
        </row>
        <row r="31">
          <cell r="B31">
            <v>0.98910081743869205</v>
          </cell>
        </row>
        <row r="35">
          <cell r="B35">
            <v>0.85830618892508148</v>
          </cell>
        </row>
        <row r="36">
          <cell r="B36">
            <v>0.97593441466854725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1.0040123456790124</v>
          </cell>
        </row>
        <row r="28">
          <cell r="B28">
            <v>1.0186901141775202</v>
          </cell>
        </row>
        <row r="31">
          <cell r="B31">
            <v>1.1985018726591761</v>
          </cell>
        </row>
        <row r="35">
          <cell r="B35">
            <v>0.79666500746640123</v>
          </cell>
        </row>
        <row r="36">
          <cell r="B36">
            <v>1.0091311622592229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1.08969013006886</v>
          </cell>
        </row>
        <row r="28">
          <cell r="B28">
            <v>1.0403314711820737</v>
          </cell>
        </row>
        <row r="31">
          <cell r="B31">
            <v>1.1459506279774794</v>
          </cell>
        </row>
        <row r="35">
          <cell r="B35">
            <v>0.80917431192660549</v>
          </cell>
        </row>
        <row r="36">
          <cell r="B36">
            <v>1.0456492901190306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0.99985340559739311</v>
          </cell>
        </row>
        <row r="28">
          <cell r="B28">
            <v>1.0273801848884365</v>
          </cell>
        </row>
        <row r="31">
          <cell r="B31">
            <v>1.2563038969544809</v>
          </cell>
        </row>
        <row r="35">
          <cell r="B35">
            <v>0.89769100437369476</v>
          </cell>
        </row>
        <row r="36">
          <cell r="B36">
            <v>1.0163028560552176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1.0201687318745056</v>
          </cell>
        </row>
        <row r="28">
          <cell r="B28">
            <v>1.0144144656412588</v>
          </cell>
        </row>
        <row r="31">
          <cell r="B31">
            <v>1.4787644787644787</v>
          </cell>
        </row>
        <row r="35">
          <cell r="B35">
            <v>0.95741512805241213</v>
          </cell>
        </row>
        <row r="36">
          <cell r="B36">
            <v>1.0213010833226768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0.9697594501718213</v>
          </cell>
        </row>
        <row r="28">
          <cell r="B28">
            <v>1.04610647435378</v>
          </cell>
        </row>
        <row r="31">
          <cell r="B31">
            <v>1.0175953079178885</v>
          </cell>
        </row>
        <row r="35">
          <cell r="B35">
            <v>0.893252503953611</v>
          </cell>
        </row>
        <row r="36">
          <cell r="B36">
            <v>0.99105108109610363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1.0021641551779417</v>
          </cell>
        </row>
        <row r="28">
          <cell r="B28">
            <v>0.98624548636952503</v>
          </cell>
        </row>
        <row r="31">
          <cell r="B31">
            <v>1.1434210526315789</v>
          </cell>
        </row>
        <row r="35">
          <cell r="B35">
            <v>0.74920490686051799</v>
          </cell>
        </row>
        <row r="36">
          <cell r="B36">
            <v>0.9823072163353701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1.0125957481669603</v>
          </cell>
        </row>
        <row r="28">
          <cell r="B28">
            <v>1.0125490322858743</v>
          </cell>
        </row>
        <row r="31">
          <cell r="B31">
            <v>1.3494704992435704</v>
          </cell>
        </row>
        <row r="35">
          <cell r="B35">
            <v>0.93671940049958369</v>
          </cell>
        </row>
        <row r="36">
          <cell r="B36">
            <v>1.0162819455894476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1.0876322751322751</v>
          </cell>
        </row>
        <row r="28">
          <cell r="B28">
            <v>1.0117363541056816</v>
          </cell>
        </row>
        <row r="31">
          <cell r="B31">
            <v>1.1419795221843003</v>
          </cell>
        </row>
        <row r="35">
          <cell r="B35">
            <v>0.88867964009206946</v>
          </cell>
        </row>
        <row r="36">
          <cell r="B36">
            <v>1.0255864770944236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1.0182205527835397</v>
          </cell>
        </row>
        <row r="28">
          <cell r="B28">
            <v>1.050013306466943</v>
          </cell>
        </row>
        <row r="31">
          <cell r="B31">
            <v>1.0295918367346939</v>
          </cell>
        </row>
        <row r="35">
          <cell r="B35">
            <v>0.77326968973747012</v>
          </cell>
        </row>
        <row r="36">
          <cell r="B36">
            <v>1.0283267281963986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0.96487735970206756</v>
          </cell>
        </row>
        <row r="28">
          <cell r="B28">
            <v>1.0187600224115614</v>
          </cell>
        </row>
        <row r="31">
          <cell r="B31">
            <v>1.2699472759226713</v>
          </cell>
        </row>
        <row r="35">
          <cell r="B35">
            <v>0.71394873407768522</v>
          </cell>
        </row>
        <row r="36">
          <cell r="B36">
            <v>0.99858900396191008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0.95970642659625338</v>
          </cell>
        </row>
        <row r="28">
          <cell r="B28">
            <v>0.98325534043009222</v>
          </cell>
        </row>
        <row r="31">
          <cell r="B31">
            <v>1.3120248790601243</v>
          </cell>
        </row>
        <row r="35">
          <cell r="B35">
            <v>1.0108558444837161</v>
          </cell>
        </row>
        <row r="36">
          <cell r="B36">
            <v>0.98409493851873031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1.0686516507250849</v>
          </cell>
        </row>
        <row r="28">
          <cell r="B28">
            <v>1.011183129450429</v>
          </cell>
        </row>
        <row r="31">
          <cell r="B31">
            <v>1.23828125</v>
          </cell>
        </row>
        <row r="35">
          <cell r="B35">
            <v>0.82892416225749554</v>
          </cell>
        </row>
        <row r="36">
          <cell r="B36">
            <v>1.0170244747247001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1.0195348837209302</v>
          </cell>
        </row>
        <row r="28">
          <cell r="B28">
            <v>1.0146421986879903</v>
          </cell>
        </row>
        <row r="31">
          <cell r="B31">
            <v>0.93819855358316895</v>
          </cell>
        </row>
        <row r="35">
          <cell r="B35">
            <v>0.93455935037019344</v>
          </cell>
        </row>
        <row r="36">
          <cell r="B36">
            <v>1.012285050348567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0.98881599651407681</v>
          </cell>
        </row>
        <row r="28">
          <cell r="B28">
            <v>1.0127451662261788</v>
          </cell>
        </row>
        <row r="31">
          <cell r="B31">
            <v>1.5352033660589059</v>
          </cell>
        </row>
        <row r="35">
          <cell r="B35">
            <v>0.80817896548233625</v>
          </cell>
        </row>
        <row r="36">
          <cell r="B36">
            <v>1.0076994487194717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1.1158831282952548</v>
          </cell>
        </row>
        <row r="28">
          <cell r="B28">
            <v>1.1245395485901815</v>
          </cell>
        </row>
        <row r="31">
          <cell r="B31">
            <v>0.90043290043290047</v>
          </cell>
        </row>
        <row r="35">
          <cell r="B35">
            <v>0.87822292740975805</v>
          </cell>
        </row>
        <row r="36">
          <cell r="B36">
            <v>1.1042674253200568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1.0007727548711156</v>
          </cell>
        </row>
        <row r="28">
          <cell r="B28">
            <v>0.99797414049931477</v>
          </cell>
        </row>
        <row r="31">
          <cell r="B31">
            <v>1.151883353584447</v>
          </cell>
        </row>
        <row r="35">
          <cell r="B35">
            <v>1.1326494517155996</v>
          </cell>
        </row>
        <row r="36">
          <cell r="B36">
            <v>1.0124513618677042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1.0268096514745308</v>
          </cell>
        </row>
        <row r="28">
          <cell r="B28">
            <v>1.0257957905722734</v>
          </cell>
        </row>
        <row r="31">
          <cell r="B31">
            <v>1.27986798679868</v>
          </cell>
        </row>
        <row r="35">
          <cell r="B35">
            <v>1.0197872340425531</v>
          </cell>
        </row>
        <row r="36">
          <cell r="B36">
            <v>1.0303563839475443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0.99871025348479592</v>
          </cell>
        </row>
        <row r="28">
          <cell r="B28">
            <v>0.97524668971915329</v>
          </cell>
        </row>
        <row r="31">
          <cell r="B31">
            <v>1.4344262295081966</v>
          </cell>
        </row>
        <row r="35">
          <cell r="B35">
            <v>0.7315753887762001</v>
          </cell>
        </row>
        <row r="36">
          <cell r="B36">
            <v>0.9770539580896086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1.0341817287593753</v>
          </cell>
        </row>
        <row r="28">
          <cell r="B28">
            <v>0.99811218985976269</v>
          </cell>
        </row>
        <row r="31">
          <cell r="B31">
            <v>1.4449339207048457</v>
          </cell>
        </row>
        <row r="35">
          <cell r="B35">
            <v>0.88840736728060676</v>
          </cell>
        </row>
        <row r="36">
          <cell r="B36">
            <v>1.010548523206751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1.0004681847201533</v>
          </cell>
        </row>
        <row r="28">
          <cell r="B28">
            <v>1.0127169801196576</v>
          </cell>
        </row>
        <row r="31">
          <cell r="B31">
            <v>1.0133231823372668</v>
          </cell>
        </row>
        <row r="35">
          <cell r="B35">
            <v>0.99070307960488091</v>
          </cell>
        </row>
        <row r="36">
          <cell r="B36">
            <v>1.0092402266833158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0.91328135685952672</v>
          </cell>
        </row>
        <row r="28">
          <cell r="B28">
            <v>1.027874844358758</v>
          </cell>
        </row>
        <row r="31">
          <cell r="B31">
            <v>1.6098334655035687</v>
          </cell>
        </row>
        <row r="35">
          <cell r="B35">
            <v>0.78165137614678903</v>
          </cell>
        </row>
        <row r="36">
          <cell r="B36">
            <v>0.98665535621589451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1.0882186970969967</v>
          </cell>
        </row>
        <row r="28">
          <cell r="B28">
            <v>0.99539491041661665</v>
          </cell>
        </row>
        <row r="31">
          <cell r="B31">
            <v>1.1719939117199392</v>
          </cell>
        </row>
        <row r="35">
          <cell r="B35">
            <v>0.85220729366602688</v>
          </cell>
        </row>
        <row r="36">
          <cell r="B36">
            <v>1.0168921716377126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1.0131634107487213</v>
          </cell>
        </row>
        <row r="28">
          <cell r="B28">
            <v>0.97257192299372697</v>
          </cell>
        </row>
        <row r="31">
          <cell r="B31">
            <v>1.7219973009446694</v>
          </cell>
        </row>
        <row r="35">
          <cell r="B35">
            <v>0.94344827586206892</v>
          </cell>
        </row>
        <row r="36">
          <cell r="B36">
            <v>0.99725977819714084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0.95528687938188583</v>
          </cell>
        </row>
        <row r="28">
          <cell r="B28">
            <v>0.92874005738568266</v>
          </cell>
        </row>
        <row r="31">
          <cell r="B31">
            <v>1.0119904076738608</v>
          </cell>
        </row>
        <row r="35">
          <cell r="B35">
            <v>0.89641434262948205</v>
          </cell>
        </row>
        <row r="36">
          <cell r="B36">
            <v>0.93608577442553942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1.0471640891096572</v>
          </cell>
        </row>
        <row r="28">
          <cell r="B28">
            <v>1.0232392402945962</v>
          </cell>
        </row>
        <row r="31">
          <cell r="B31">
            <v>1.2777485107590063</v>
          </cell>
        </row>
        <row r="35">
          <cell r="B35">
            <v>0.84913841922174582</v>
          </cell>
        </row>
        <row r="36">
          <cell r="B36">
            <v>1.0248568299865339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1.0356518825247134</v>
          </cell>
        </row>
        <row r="28">
          <cell r="B28">
            <v>1.0092433782326684</v>
          </cell>
        </row>
        <row r="31">
          <cell r="B31">
            <v>1.4023715415019762</v>
          </cell>
        </row>
        <row r="35">
          <cell r="B35">
            <v>0.76429498670952589</v>
          </cell>
        </row>
        <row r="36">
          <cell r="B36">
            <v>1.010817893053706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1.0069262925462146</v>
          </cell>
        </row>
        <row r="28">
          <cell r="B28">
            <v>1.0376186109187551</v>
          </cell>
        </row>
        <row r="31">
          <cell r="B31">
            <v>0.96905676483141268</v>
          </cell>
        </row>
        <row r="35">
          <cell r="B35">
            <v>1.1384889301749497</v>
          </cell>
        </row>
        <row r="36">
          <cell r="B36">
            <v>1.0277643975195172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1.0283367257923814</v>
          </cell>
        </row>
        <row r="28">
          <cell r="B28">
            <v>1.0172970773026735</v>
          </cell>
        </row>
        <row r="31">
          <cell r="B31">
            <v>1.2313569174555721</v>
          </cell>
        </row>
        <row r="35">
          <cell r="B35">
            <v>0.90348614693402118</v>
          </cell>
        </row>
        <row r="36">
          <cell r="B36">
            <v>1.01969758455811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0.96999533606260036</v>
          </cell>
        </row>
        <row r="28">
          <cell r="B28">
            <v>1.0295842300614453</v>
          </cell>
        </row>
        <row r="31">
          <cell r="B31">
            <v>1.718936877076412</v>
          </cell>
        </row>
        <row r="35">
          <cell r="B35">
            <v>0.8156132272917539</v>
          </cell>
        </row>
        <row r="36">
          <cell r="B36">
            <v>1.0169338476288154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0.97651339728746278</v>
          </cell>
        </row>
        <row r="28">
          <cell r="B28">
            <v>1.0163037905458523</v>
          </cell>
        </row>
        <row r="31">
          <cell r="B31">
            <v>1.3071718538565629</v>
          </cell>
        </row>
        <row r="35">
          <cell r="B35">
            <v>1.0359263657957245</v>
          </cell>
        </row>
        <row r="36">
          <cell r="B36">
            <v>1.0119016191481873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0.98857494833889681</v>
          </cell>
        </row>
        <row r="28">
          <cell r="B28">
            <v>1.0086486689304541</v>
          </cell>
        </row>
        <row r="31">
          <cell r="B31">
            <v>1.2740014015416958</v>
          </cell>
        </row>
        <row r="35">
          <cell r="B35">
            <v>0.89415943172849255</v>
          </cell>
        </row>
        <row r="36">
          <cell r="B36">
            <v>0.99877071518862559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1.0111572021170077</v>
          </cell>
        </row>
        <row r="28">
          <cell r="B28">
            <v>1.0409663297843592</v>
          </cell>
        </row>
        <row r="31">
          <cell r="B31">
            <v>1.2204408817635271</v>
          </cell>
        </row>
        <row r="35">
          <cell r="B35">
            <v>1.0263984915147706</v>
          </cell>
        </row>
        <row r="36">
          <cell r="B36">
            <v>1.0358178654292343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1.0830826026765112</v>
          </cell>
        </row>
        <row r="28">
          <cell r="B28">
            <v>1.0067075907674217</v>
          </cell>
        </row>
        <row r="31">
          <cell r="B31">
            <v>1.1189986282578874</v>
          </cell>
        </row>
        <row r="35">
          <cell r="B35">
            <v>0.98916887709991164</v>
          </cell>
        </row>
        <row r="36">
          <cell r="B36">
            <v>1.0251789444245374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0.9704171617987366</v>
          </cell>
        </row>
        <row r="28">
          <cell r="B28">
            <v>1.0016429353778751</v>
          </cell>
        </row>
        <row r="31">
          <cell r="B31">
            <v>1.0649237472766884</v>
          </cell>
        </row>
        <row r="35">
          <cell r="B35">
            <v>0.91101268371250255</v>
          </cell>
        </row>
        <row r="36">
          <cell r="B36">
            <v>0.98966045442941031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0.99866131191432395</v>
          </cell>
        </row>
        <row r="28">
          <cell r="B28">
            <v>1.0121798615166431</v>
          </cell>
        </row>
        <row r="31">
          <cell r="B31">
            <v>1.1596916299559472</v>
          </cell>
        </row>
        <row r="35">
          <cell r="B35">
            <v>0.71445929526123941</v>
          </cell>
        </row>
        <row r="36">
          <cell r="B36">
            <v>0.99734768111548955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1.0348395366936776</v>
          </cell>
        </row>
        <row r="28">
          <cell r="B28">
            <v>1.0147786096411116</v>
          </cell>
        </row>
        <row r="31">
          <cell r="B31">
            <v>1.3363463368220743</v>
          </cell>
        </row>
        <row r="35">
          <cell r="B35">
            <v>0.88783649052841473</v>
          </cell>
        </row>
        <row r="36">
          <cell r="B36">
            <v>1.0175538027173037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1.0271053309296936</v>
          </cell>
        </row>
        <row r="28">
          <cell r="B28">
            <v>1.028737091020828</v>
          </cell>
        </row>
        <row r="31">
          <cell r="B31">
            <v>1.5862304021813225</v>
          </cell>
        </row>
        <row r="35">
          <cell r="B35">
            <v>1.0224952741020794</v>
          </cell>
        </row>
        <row r="36">
          <cell r="B36">
            <v>1.0352527690996876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1.0785003866357359</v>
          </cell>
        </row>
        <row r="28">
          <cell r="B28">
            <v>1.0089520350389916</v>
          </cell>
        </row>
        <row r="31">
          <cell r="B31">
            <v>1.2689549180327868</v>
          </cell>
        </row>
        <row r="35">
          <cell r="B35">
            <v>1.1633484872237028</v>
          </cell>
        </row>
        <row r="36">
          <cell r="B36">
            <v>1.0532173274754693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1.0413586765223513</v>
          </cell>
        </row>
        <row r="28">
          <cell r="B28">
            <v>0.96597996597996594</v>
          </cell>
        </row>
        <row r="31">
          <cell r="B31">
            <v>1.2661870503597121</v>
          </cell>
        </row>
        <row r="35">
          <cell r="B35">
            <v>0.95929018789144049</v>
          </cell>
        </row>
        <row r="36">
          <cell r="B36">
            <v>0.98983863933711291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0.99531387044230046</v>
          </cell>
        </row>
        <row r="28">
          <cell r="B28">
            <v>1.0175698367142483</v>
          </cell>
        </row>
        <row r="31">
          <cell r="B31">
            <v>1.4117187499999999</v>
          </cell>
        </row>
        <row r="35">
          <cell r="B35">
            <v>0.81822067533736342</v>
          </cell>
        </row>
        <row r="36">
          <cell r="B36">
            <v>1.0127894114686935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0.92554703040636543</v>
          </cell>
        </row>
        <row r="28">
          <cell r="B28">
            <v>0.99636363636363634</v>
          </cell>
        </row>
        <row r="31">
          <cell r="B31">
            <v>0.88224637681159424</v>
          </cell>
        </row>
        <row r="35">
          <cell r="B35">
            <v>1.023076923076923</v>
          </cell>
        </row>
        <row r="36">
          <cell r="B36">
            <v>0.97408707340751255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1.0088126159554731</v>
          </cell>
        </row>
        <row r="28">
          <cell r="B28">
            <v>1.0288710662244005</v>
          </cell>
        </row>
        <row r="31">
          <cell r="B31">
            <v>0.99718706047819972</v>
          </cell>
        </row>
        <row r="35">
          <cell r="B35">
            <v>1.0798261213198972</v>
          </cell>
        </row>
        <row r="36">
          <cell r="B36">
            <v>1.0256923610561739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1.1000932545850171</v>
          </cell>
        </row>
        <row r="28">
          <cell r="B28">
            <v>1.0159834728715886</v>
          </cell>
        </row>
        <row r="31">
          <cell r="B31">
            <v>1.0402930402930404</v>
          </cell>
        </row>
        <row r="35">
          <cell r="B35">
            <v>0.97693574958813834</v>
          </cell>
        </row>
        <row r="36">
          <cell r="B36">
            <v>1.0350534075522793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0.98584371460928655</v>
          </cell>
        </row>
        <row r="28">
          <cell r="B28">
            <v>0.97719043247654014</v>
          </cell>
        </row>
        <row r="31">
          <cell r="B31">
            <v>1.1780038143674507</v>
          </cell>
        </row>
        <row r="35">
          <cell r="B35">
            <v>0.65589549673427294</v>
          </cell>
        </row>
        <row r="36">
          <cell r="B36">
            <v>0.96473648890890873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0.98593592383556616</v>
          </cell>
        </row>
        <row r="28">
          <cell r="B28">
            <v>0.99172274845046382</v>
          </cell>
        </row>
        <row r="31">
          <cell r="B31">
            <v>1.1213811821471653</v>
          </cell>
        </row>
        <row r="35">
          <cell r="B35">
            <v>0.75649851879667873</v>
          </cell>
        </row>
        <row r="36">
          <cell r="B36">
            <v>0.98094956833328406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1.0241462877285745</v>
          </cell>
        </row>
        <row r="28">
          <cell r="B28">
            <v>1.0289362634953692</v>
          </cell>
        </row>
        <row r="31">
          <cell r="B31">
            <v>1.6691588785046729</v>
          </cell>
        </row>
        <row r="35">
          <cell r="B35">
            <v>1.0316040548598688</v>
          </cell>
        </row>
        <row r="36">
          <cell r="B36">
            <v>1.0400252164811115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0.96991499385497748</v>
          </cell>
        </row>
        <row r="28">
          <cell r="B28">
            <v>1.0221580334987592</v>
          </cell>
        </row>
        <row r="31">
          <cell r="B31">
            <v>1.509930486593843</v>
          </cell>
        </row>
        <row r="35">
          <cell r="B35">
            <v>0.90664556962025311</v>
          </cell>
        </row>
        <row r="36">
          <cell r="B36">
            <v>1.0073234311081287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1.0023947034793632</v>
          </cell>
        </row>
        <row r="28">
          <cell r="B28">
            <v>1.0077844311377246</v>
          </cell>
        </row>
        <row r="31">
          <cell r="B31">
            <v>1.2376470588235293</v>
          </cell>
        </row>
        <row r="35">
          <cell r="B35">
            <v>0.98599852616064854</v>
          </cell>
        </row>
        <row r="36">
          <cell r="B36">
            <v>1.0089519565302374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1.0570198105081825</v>
          </cell>
        </row>
        <row r="28">
          <cell r="B28">
            <v>0.97591200222779173</v>
          </cell>
        </row>
        <row r="31">
          <cell r="B31">
            <v>1.215547703180212</v>
          </cell>
        </row>
        <row r="35">
          <cell r="B35">
            <v>0.88202866593164275</v>
          </cell>
        </row>
        <row r="36">
          <cell r="B36">
            <v>1.0079001199125344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1.0328958162428219</v>
          </cell>
        </row>
        <row r="28">
          <cell r="B28">
            <v>1.0098403180481019</v>
          </cell>
        </row>
        <row r="31">
          <cell r="B31">
            <v>1.2611228813559323</v>
          </cell>
        </row>
        <row r="35">
          <cell r="B35">
            <v>0.87704723474958457</v>
          </cell>
        </row>
        <row r="36">
          <cell r="B36">
            <v>1.0111362642954536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1.0416042309387394</v>
          </cell>
        </row>
        <row r="28">
          <cell r="B28">
            <v>1.0066279252395163</v>
          </cell>
        </row>
        <row r="31">
          <cell r="B31">
            <v>0.96121883656509699</v>
          </cell>
        </row>
        <row r="35">
          <cell r="B35">
            <v>1.0839002267573696</v>
          </cell>
        </row>
        <row r="36">
          <cell r="B36">
            <v>1.0185701410576178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1.0137351373513734</v>
          </cell>
        </row>
        <row r="28">
          <cell r="B28">
            <v>0.97281358263031237</v>
          </cell>
        </row>
        <row r="31">
          <cell r="B31">
            <v>0.89607558139534882</v>
          </cell>
        </row>
        <row r="35">
          <cell r="B35">
            <v>1.0410783055198973</v>
          </cell>
        </row>
        <row r="36">
          <cell r="B36">
            <v>0.98521224468290625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1.1103634418766637</v>
          </cell>
        </row>
        <row r="28">
          <cell r="B28">
            <v>1.0141811594732191</v>
          </cell>
        </row>
        <row r="31">
          <cell r="B31">
            <v>1.052429925388183</v>
          </cell>
        </row>
        <row r="35">
          <cell r="B35">
            <v>0.84264385170273448</v>
          </cell>
        </row>
        <row r="36">
          <cell r="B36">
            <v>1.0300194290918987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0.94506808980493195</v>
          </cell>
        </row>
        <row r="28">
          <cell r="B28">
            <v>1.0078225881912604</v>
          </cell>
        </row>
        <row r="31">
          <cell r="B31">
            <v>0.92297035189803267</v>
          </cell>
        </row>
        <row r="35">
          <cell r="B35">
            <v>0.72251028070802792</v>
          </cell>
        </row>
        <row r="36">
          <cell r="B36">
            <v>0.98126799214399096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1.0379190327898882</v>
          </cell>
        </row>
        <row r="28">
          <cell r="B28">
            <v>0.94986416399110896</v>
          </cell>
        </row>
        <row r="31">
          <cell r="B31">
            <v>1.4599406528189911</v>
          </cell>
        </row>
        <row r="35">
          <cell r="B35">
            <v>0.99810964083175802</v>
          </cell>
        </row>
        <row r="36">
          <cell r="B36">
            <v>0.97997424625904717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1.0137105649303009</v>
          </cell>
        </row>
        <row r="28">
          <cell r="B28">
            <v>0.99093720586257905</v>
          </cell>
        </row>
        <row r="31">
          <cell r="B31">
            <v>1.1037735849056605</v>
          </cell>
        </row>
        <row r="35">
          <cell r="B35">
            <v>0.88976377952755903</v>
          </cell>
        </row>
        <row r="36">
          <cell r="B36">
            <v>0.99490958595992773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1.08701504354711</v>
          </cell>
        </row>
        <row r="28">
          <cell r="B28">
            <v>1.0059012875536482</v>
          </cell>
        </row>
        <row r="31">
          <cell r="B31">
            <v>0.80372492836676213</v>
          </cell>
        </row>
        <row r="35">
          <cell r="B35">
            <v>0.75554123711340204</v>
          </cell>
        </row>
        <row r="36">
          <cell r="B36">
            <v>1.0132725317910503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1.0880977583642624</v>
          </cell>
        </row>
        <row r="28">
          <cell r="B28">
            <v>1.0182500375631842</v>
          </cell>
        </row>
        <row r="31">
          <cell r="B31">
            <v>1.0062971175166298</v>
          </cell>
        </row>
        <row r="35">
          <cell r="B35">
            <v>0.90857118747758581</v>
          </cell>
        </row>
        <row r="36">
          <cell r="B36">
            <v>1.0286795775538811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0.96289437585733884</v>
          </cell>
        </row>
        <row r="28">
          <cell r="B28">
            <v>0.98546496065099842</v>
          </cell>
        </row>
        <row r="31">
          <cell r="B31">
            <v>0.92890262751159192</v>
          </cell>
        </row>
        <row r="35">
          <cell r="B35">
            <v>1.0348997926744989</v>
          </cell>
        </row>
        <row r="36">
          <cell r="B36">
            <v>0.9808466664291059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1.0955899104963385</v>
          </cell>
        </row>
        <row r="28">
          <cell r="B28">
            <v>0.99997055619350472</v>
          </cell>
        </row>
        <row r="31">
          <cell r="B31">
            <v>0.94420226678291197</v>
          </cell>
        </row>
        <row r="35">
          <cell r="B35">
            <v>0.99484801648634724</v>
          </cell>
        </row>
        <row r="36">
          <cell r="B36">
            <v>1.0409082433265917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0.99556159420289858</v>
          </cell>
        </row>
        <row r="28">
          <cell r="B28">
            <v>0.97552161269375193</v>
          </cell>
        </row>
        <row r="31">
          <cell r="B31">
            <v>1.268983268983269</v>
          </cell>
        </row>
        <row r="35">
          <cell r="B35">
            <v>0.89467592592592593</v>
          </cell>
        </row>
        <row r="36">
          <cell r="B36">
            <v>0.98184380361081613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1.0119585214918883</v>
          </cell>
        </row>
        <row r="28">
          <cell r="B28">
            <v>0.99611256326122022</v>
          </cell>
        </row>
        <row r="31">
          <cell r="B31">
            <v>0.95508939884555821</v>
          </cell>
        </row>
        <row r="35">
          <cell r="B35">
            <v>0.78026425425544577</v>
          </cell>
        </row>
        <row r="36">
          <cell r="B36">
            <v>0.99057356485403836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1.0815605716141605</v>
          </cell>
        </row>
        <row r="28">
          <cell r="B28">
            <v>0.99166645526269059</v>
          </cell>
        </row>
        <row r="31">
          <cell r="B31">
            <v>1.2706766917293233</v>
          </cell>
        </row>
        <row r="35">
          <cell r="B35">
            <v>0.85427752762996312</v>
          </cell>
        </row>
        <row r="36">
          <cell r="B36">
            <v>1.0100649498115093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0.99017288444040041</v>
          </cell>
        </row>
        <row r="28">
          <cell r="B28">
            <v>0.98402194964493217</v>
          </cell>
        </row>
        <row r="31">
          <cell r="B31">
            <v>0.82151589242053791</v>
          </cell>
        </row>
        <row r="35">
          <cell r="B35">
            <v>0.74749932414165987</v>
          </cell>
        </row>
        <row r="36">
          <cell r="B36">
            <v>0.97141561386459341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0.99562461241645417</v>
          </cell>
        </row>
        <row r="28">
          <cell r="B28">
            <v>1.0178411530795968</v>
          </cell>
        </row>
        <row r="31">
          <cell r="B31">
            <v>1.0197651102835863</v>
          </cell>
        </row>
        <row r="35">
          <cell r="B35">
            <v>0.72397294175878568</v>
          </cell>
        </row>
        <row r="36">
          <cell r="B36">
            <v>1.0008565069959772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1.0735440856313498</v>
          </cell>
        </row>
        <row r="28">
          <cell r="B28">
            <v>0.99030161741290124</v>
          </cell>
        </row>
        <row r="31">
          <cell r="B31">
            <v>1.0087565674255692</v>
          </cell>
        </row>
        <row r="35">
          <cell r="B35">
            <v>0.86733784746970777</v>
          </cell>
        </row>
        <row r="36">
          <cell r="B36">
            <v>1.0027075812274369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0.89764476713299102</v>
          </cell>
        </row>
        <row r="28">
          <cell r="B28">
            <v>1.0396018083811511</v>
          </cell>
        </row>
        <row r="31">
          <cell r="B31">
            <v>1.004594180704441</v>
          </cell>
        </row>
        <row r="35">
          <cell r="B35">
            <v>0.82505559673832474</v>
          </cell>
        </row>
        <row r="36">
          <cell r="B36">
            <v>1.0032623234267446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1.0929383396486394</v>
          </cell>
        </row>
        <row r="28">
          <cell r="B28">
            <v>1.001158819849661</v>
          </cell>
        </row>
        <row r="31">
          <cell r="B31">
            <v>1.0508905852417303</v>
          </cell>
        </row>
        <row r="35">
          <cell r="B35">
            <v>0.89717282261741904</v>
          </cell>
        </row>
        <row r="36">
          <cell r="B36">
            <v>1.0184149553588275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1.0905635004784193</v>
          </cell>
        </row>
        <row r="28">
          <cell r="B28">
            <v>1.0102124884144039</v>
          </cell>
        </row>
        <row r="31">
          <cell r="B31">
            <v>1.3645443196004994</v>
          </cell>
        </row>
        <row r="35">
          <cell r="B35">
            <v>0.8553607552258935</v>
          </cell>
        </row>
        <row r="36">
          <cell r="B36">
            <v>1.0253214708640204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1.0753856180751684</v>
          </cell>
        </row>
        <row r="28">
          <cell r="B28">
            <v>0.8998467381888452</v>
          </cell>
        </row>
        <row r="31">
          <cell r="B31">
            <v>0.62286158631415245</v>
          </cell>
        </row>
        <row r="35">
          <cell r="B35">
            <v>1.1226799456767769</v>
          </cell>
        </row>
        <row r="36">
          <cell r="B36">
            <v>0.94086386515275666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0.97676578533443192</v>
          </cell>
        </row>
        <row r="28">
          <cell r="B28">
            <v>1.030695038708662</v>
          </cell>
        </row>
        <row r="31">
          <cell r="B31">
            <v>0.71090363454484828</v>
          </cell>
        </row>
        <row r="35">
          <cell r="B35">
            <v>1.00106780565937</v>
          </cell>
        </row>
        <row r="36">
          <cell r="B36">
            <v>0.99819883502008466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1.0423780179816142</v>
          </cell>
        </row>
        <row r="28">
          <cell r="B28">
            <v>1.0235480680694335</v>
          </cell>
        </row>
        <row r="31">
          <cell r="B31">
            <v>1.0875955320399764</v>
          </cell>
        </row>
        <row r="35">
          <cell r="B35">
            <v>0.99660585490029696</v>
          </cell>
        </row>
        <row r="36">
          <cell r="B36">
            <v>1.027728349379559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0.96988046969617192</v>
          </cell>
        </row>
        <row r="28">
          <cell r="B28">
            <v>0.94821319983595664</v>
          </cell>
        </row>
        <row r="31">
          <cell r="B31">
            <v>1.021482602118003</v>
          </cell>
        </row>
        <row r="35">
          <cell r="B35">
            <v>0.80174563591022441</v>
          </cell>
        </row>
        <row r="36">
          <cell r="B36">
            <v>0.94889660788093055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1.1077306733167083</v>
          </cell>
        </row>
        <row r="28">
          <cell r="B28">
            <v>0.99898124565871727</v>
          </cell>
        </row>
        <row r="31">
          <cell r="B31">
            <v>0.8272425249169435</v>
          </cell>
        </row>
        <row r="35">
          <cell r="B35">
            <v>0.86510590858416947</v>
          </cell>
        </row>
        <row r="36">
          <cell r="B36">
            <v>1.0198303014720063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1.038364553314121</v>
          </cell>
        </row>
        <row r="28">
          <cell r="B28">
            <v>1.0078815022393475</v>
          </cell>
        </row>
        <row r="31">
          <cell r="B31">
            <v>0.83327592146055807</v>
          </cell>
        </row>
        <row r="35">
          <cell r="B35">
            <v>0.91122327790973867</v>
          </cell>
        </row>
        <row r="36">
          <cell r="B36">
            <v>1.0064475662512797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1.0428267692619215</v>
          </cell>
        </row>
        <row r="28">
          <cell r="B28">
            <v>0.98105428675525896</v>
          </cell>
        </row>
        <row r="31">
          <cell r="B31">
            <v>0.88696655132641289</v>
          </cell>
        </row>
        <row r="35">
          <cell r="B35">
            <v>0.91978719050542257</v>
          </cell>
        </row>
        <row r="36">
          <cell r="B36">
            <v>0.99070347919107538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1.0300393750793853</v>
          </cell>
        </row>
        <row r="28">
          <cell r="B28">
            <v>0.99930602027412196</v>
          </cell>
        </row>
        <row r="31">
          <cell r="B31">
            <v>0.86339522546419101</v>
          </cell>
        </row>
        <row r="35">
          <cell r="B35">
            <v>0.97748267898383367</v>
          </cell>
        </row>
        <row r="36">
          <cell r="B36">
            <v>1.005172502091193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1.0399293880295897</v>
          </cell>
        </row>
        <row r="28">
          <cell r="B28">
            <v>0.9869991823385118</v>
          </cell>
        </row>
        <row r="31">
          <cell r="B31">
            <v>0.64752475247524754</v>
          </cell>
        </row>
        <row r="35">
          <cell r="B35">
            <v>1.1843245372193778</v>
          </cell>
        </row>
        <row r="36">
          <cell r="B36">
            <v>1.0022519178421183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0.97682889026658404</v>
          </cell>
        </row>
        <row r="28">
          <cell r="B28">
            <v>0.94435227429835478</v>
          </cell>
        </row>
        <row r="31">
          <cell r="B31">
            <v>0.88888888888888884</v>
          </cell>
        </row>
        <row r="35">
          <cell r="B35">
            <v>0.98270600203458802</v>
          </cell>
        </row>
        <row r="36">
          <cell r="B36">
            <v>0.95458505772162927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1.0993278766419889</v>
          </cell>
        </row>
        <row r="28">
          <cell r="B28">
            <v>0.99902828762686247</v>
          </cell>
        </row>
        <row r="31">
          <cell r="B31">
            <v>0.73132375512668901</v>
          </cell>
        </row>
        <row r="35">
          <cell r="B35">
            <v>0.90875608676405484</v>
          </cell>
        </row>
        <row r="36">
          <cell r="B36">
            <v>1.0066647643297189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1.0231151809845858</v>
          </cell>
        </row>
        <row r="28">
          <cell r="B28">
            <v>1.0098784431868839</v>
          </cell>
        </row>
        <row r="31">
          <cell r="B31">
            <v>1.1014250866606754</v>
          </cell>
        </row>
        <row r="35">
          <cell r="B35">
            <v>0.78517637732857704</v>
          </cell>
        </row>
        <row r="36">
          <cell r="B36">
            <v>1.0063358157746467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0.99909864989260511</v>
          </cell>
        </row>
        <row r="28">
          <cell r="B28">
            <v>1.0160639683751853</v>
          </cell>
        </row>
        <row r="31">
          <cell r="B31">
            <v>0.93148003132341428</v>
          </cell>
        </row>
        <row r="35">
          <cell r="B35">
            <v>1.0967408173823072</v>
          </cell>
        </row>
        <row r="36">
          <cell r="B36">
            <v>1.0123785736484503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1.0412995506016141</v>
          </cell>
        </row>
        <row r="28">
          <cell r="B28">
            <v>1.0012543816592545</v>
          </cell>
        </row>
        <row r="31">
          <cell r="B31">
            <v>0.95124508519003936</v>
          </cell>
        </row>
        <row r="35">
          <cell r="B35">
            <v>0.90997170539312355</v>
          </cell>
        </row>
        <row r="36">
          <cell r="B36">
            <v>1.0049281270644259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1.0951630691665353</v>
          </cell>
        </row>
        <row r="28">
          <cell r="B28">
            <v>1.0173622704507512</v>
          </cell>
        </row>
        <row r="31">
          <cell r="B31">
            <v>0.91877496671105197</v>
          </cell>
        </row>
        <row r="35">
          <cell r="B35">
            <v>0.90809399477806785</v>
          </cell>
        </row>
        <row r="36">
          <cell r="B36">
            <v>1.0269146434292595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1.0560488346281909</v>
          </cell>
        </row>
        <row r="28">
          <cell r="B28">
            <v>1.0176814720397425</v>
          </cell>
        </row>
        <row r="31">
          <cell r="B31">
            <v>1.0959332638164756</v>
          </cell>
        </row>
        <row r="35">
          <cell r="B35">
            <v>0.98516579406631766</v>
          </cell>
        </row>
        <row r="36">
          <cell r="B36">
            <v>1.0259354669693928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1.0464550287141607</v>
          </cell>
        </row>
        <row r="28">
          <cell r="B28">
            <v>0.99999071727607747</v>
          </cell>
        </row>
        <row r="31">
          <cell r="B31">
            <v>0.91359383599339572</v>
          </cell>
        </row>
        <row r="35">
          <cell r="B35">
            <v>0.90144230769230771</v>
          </cell>
        </row>
        <row r="36">
          <cell r="B36">
            <v>1.0039467656490433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0.97817896389324965</v>
          </cell>
        </row>
        <row r="28">
          <cell r="B28">
            <v>0.95958831542303613</v>
          </cell>
        </row>
        <row r="31">
          <cell r="B31">
            <v>1.401673640167364</v>
          </cell>
        </row>
        <row r="35">
          <cell r="B35">
            <v>0.99932249322493227</v>
          </cell>
        </row>
        <row r="36">
          <cell r="B36">
            <v>0.9733878131106769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1.1698800181104738</v>
          </cell>
        </row>
        <row r="28">
          <cell r="B28">
            <v>1.0057160866126162</v>
          </cell>
        </row>
        <row r="31">
          <cell r="B31">
            <v>1</v>
          </cell>
        </row>
        <row r="35">
          <cell r="B35">
            <v>0.98167048531555923</v>
          </cell>
        </row>
        <row r="36">
          <cell r="B36">
            <v>1.0415220454311145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1.0069850552306692</v>
          </cell>
        </row>
        <row r="28">
          <cell r="B28">
            <v>1.0089415279556124</v>
          </cell>
        </row>
        <row r="31">
          <cell r="B31">
            <v>1.0372199012533232</v>
          </cell>
        </row>
        <row r="35">
          <cell r="B35">
            <v>0.9108921161825726</v>
          </cell>
        </row>
        <row r="36">
          <cell r="B36">
            <v>1.0040674679119141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1.087450400684665</v>
          </cell>
        </row>
        <row r="28">
          <cell r="B28">
            <v>1.0347891066091</v>
          </cell>
        </row>
        <row r="31">
          <cell r="B31">
            <v>1.0559380378657488</v>
          </cell>
        </row>
        <row r="35">
          <cell r="B35">
            <v>0.84163090128755369</v>
          </cell>
        </row>
        <row r="36">
          <cell r="B36">
            <v>1.0395792442403338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1.155303295727933</v>
          </cell>
        </row>
        <row r="28">
          <cell r="B28">
            <v>1.0217857436364859</v>
          </cell>
        </row>
        <row r="31">
          <cell r="B31">
            <v>1.0678840809845176</v>
          </cell>
        </row>
        <row r="35">
          <cell r="B35">
            <v>0.91629317163195356</v>
          </cell>
        </row>
        <row r="36">
          <cell r="B36">
            <v>1.0487291652165533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1.0815310239540548</v>
          </cell>
        </row>
        <row r="28">
          <cell r="B28">
            <v>0.97026864071816177</v>
          </cell>
        </row>
        <row r="31">
          <cell r="B31">
            <v>0.96113223489649346</v>
          </cell>
        </row>
        <row r="35">
          <cell r="B35">
            <v>0.94789379117588346</v>
          </cell>
        </row>
        <row r="36">
          <cell r="B36">
            <v>0.99699603732583408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0.99428005719942802</v>
          </cell>
        </row>
        <row r="28">
          <cell r="B28">
            <v>0.96537772383099241</v>
          </cell>
        </row>
        <row r="31">
          <cell r="B31">
            <v>0.89053591790193842</v>
          </cell>
        </row>
        <row r="35">
          <cell r="B35">
            <v>0.9749742886527254</v>
          </cell>
        </row>
        <row r="36">
          <cell r="B36">
            <v>0.97779871171423483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1.1183178902352102</v>
          </cell>
        </row>
        <row r="28">
          <cell r="B28">
            <v>0.97216920140385443</v>
          </cell>
        </row>
        <row r="31">
          <cell r="B31">
            <v>1.2818003913894325</v>
          </cell>
        </row>
        <row r="35">
          <cell r="B35">
            <v>0.90961098398169338</v>
          </cell>
        </row>
        <row r="36">
          <cell r="B36">
            <v>1.0119201308202084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0.98466666666666669</v>
          </cell>
        </row>
        <row r="28">
          <cell r="B28">
            <v>0.99141303668520719</v>
          </cell>
        </row>
        <row r="31">
          <cell r="B31">
            <v>1.0243281471004244</v>
          </cell>
        </row>
        <row r="35">
          <cell r="B35">
            <v>0.79296346414073071</v>
          </cell>
        </row>
        <row r="36">
          <cell r="B36">
            <v>0.98372765609862656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1.0791743684534811</v>
          </cell>
        </row>
        <row r="28">
          <cell r="B28">
            <v>0.95794839120739084</v>
          </cell>
        </row>
        <row r="31">
          <cell r="B31">
            <v>0.88998357963875208</v>
          </cell>
        </row>
        <row r="35">
          <cell r="B35">
            <v>0.66990291262135926</v>
          </cell>
        </row>
        <row r="36">
          <cell r="B36">
            <v>0.97272793210995867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1.0997116770783277</v>
          </cell>
        </row>
        <row r="28">
          <cell r="B28">
            <v>1.0238947957470621</v>
          </cell>
        </row>
        <row r="31">
          <cell r="B31">
            <v>0.97696879643387813</v>
          </cell>
        </row>
        <row r="35">
          <cell r="B35">
            <v>0.90154738878143137</v>
          </cell>
        </row>
        <row r="36">
          <cell r="B36">
            <v>1.0349844149858705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0.9970750731231719</v>
          </cell>
        </row>
        <row r="28">
          <cell r="B28">
            <v>0.97622192866578594</v>
          </cell>
        </row>
        <row r="31">
          <cell r="B31">
            <v>0.98634812286689422</v>
          </cell>
        </row>
        <row r="35">
          <cell r="B35">
            <v>1.0405405405405406</v>
          </cell>
        </row>
        <row r="36">
          <cell r="B36">
            <v>0.9838440918640875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1.0678619536439222</v>
          </cell>
        </row>
        <row r="28">
          <cell r="B28">
            <v>0.95407644642484157</v>
          </cell>
        </row>
        <row r="31">
          <cell r="B31">
            <v>0.90010460251046021</v>
          </cell>
        </row>
        <row r="35">
          <cell r="B35">
            <v>0.69813986343301149</v>
          </cell>
        </row>
        <row r="36">
          <cell r="B36">
            <v>0.96673467131644275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1.0827283397817675</v>
          </cell>
        </row>
        <row r="28">
          <cell r="B28">
            <v>0.99632005104622767</v>
          </cell>
        </row>
        <row r="31">
          <cell r="B31">
            <v>1.0630236794171219</v>
          </cell>
        </row>
        <row r="35">
          <cell r="B35">
            <v>0.74189825091005945</v>
          </cell>
        </row>
        <row r="36">
          <cell r="B36">
            <v>1.0056579918644282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1.1336526504858839</v>
          </cell>
        </row>
        <row r="28">
          <cell r="B28">
            <v>1.0235018709332546</v>
          </cell>
        </row>
        <row r="31">
          <cell r="B31">
            <v>1.3660100778744846</v>
          </cell>
        </row>
        <row r="35">
          <cell r="B35">
            <v>1.0958481613285884</v>
          </cell>
        </row>
        <row r="36">
          <cell r="B36">
            <v>1.065321386076103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1.0128352290514453</v>
          </cell>
        </row>
        <row r="28">
          <cell r="B28">
            <v>0.99563044949635704</v>
          </cell>
        </row>
        <row r="31">
          <cell r="B31">
            <v>2.0563623789764867</v>
          </cell>
        </row>
        <row r="35">
          <cell r="B35">
            <v>0.95208489655911677</v>
          </cell>
        </row>
        <row r="36">
          <cell r="B36">
            <v>1.0176200660835248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1.00565812983919</v>
          </cell>
        </row>
        <row r="28">
          <cell r="B28">
            <v>0.9804735775371991</v>
          </cell>
        </row>
        <row r="31">
          <cell r="B31">
            <v>1.1177570093457945</v>
          </cell>
        </row>
        <row r="35">
          <cell r="B35">
            <v>0.74036363636363633</v>
          </cell>
        </row>
        <row r="36">
          <cell r="B36">
            <v>0.97743891873158895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0.94057248604602572</v>
          </cell>
        </row>
        <row r="28">
          <cell r="B28">
            <v>0.97379686434901158</v>
          </cell>
        </row>
        <row r="31">
          <cell r="B31">
            <v>1.0804232804232805</v>
          </cell>
        </row>
        <row r="35">
          <cell r="B35">
            <v>0.89160516605166051</v>
          </cell>
        </row>
        <row r="36">
          <cell r="B36">
            <v>0.95565803946514005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0.97308991761010022</v>
          </cell>
        </row>
        <row r="28">
          <cell r="B28">
            <v>0.99983117613956107</v>
          </cell>
        </row>
        <row r="31">
          <cell r="B31">
            <v>0.84291187739463602</v>
          </cell>
        </row>
        <row r="35">
          <cell r="B35">
            <v>0.94393476044852187</v>
          </cell>
        </row>
        <row r="36">
          <cell r="B36">
            <v>0.98251851851851857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1.0941899717320307</v>
          </cell>
        </row>
        <row r="28">
          <cell r="B28">
            <v>1.0060436002590114</v>
          </cell>
        </row>
        <row r="31">
          <cell r="B31">
            <v>0.95720555961960496</v>
          </cell>
        </row>
        <row r="35">
          <cell r="B35">
            <v>0.86486486486486491</v>
          </cell>
        </row>
        <row r="36">
          <cell r="B36">
            <v>1.0187530073188644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0.98345733041575489</v>
          </cell>
        </row>
        <row r="28">
          <cell r="B28">
            <v>1.0041732386961093</v>
          </cell>
        </row>
        <row r="31">
          <cell r="B31">
            <v>2.5837813620071683</v>
          </cell>
        </row>
        <row r="35">
          <cell r="B35">
            <v>1.210225361587622</v>
          </cell>
        </row>
        <row r="36">
          <cell r="B36">
            <v>1.0870766223279928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0.97333240978042534</v>
          </cell>
        </row>
        <row r="28">
          <cell r="B28">
            <v>0.99804407713498622</v>
          </cell>
        </row>
        <row r="31">
          <cell r="B31">
            <v>0.86813186813186816</v>
          </cell>
        </row>
        <row r="35">
          <cell r="B35">
            <v>1.0094339622641511</v>
          </cell>
        </row>
        <row r="36">
          <cell r="B36">
            <v>0.98936015158140211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0.88066389331508199</v>
          </cell>
        </row>
        <row r="28">
          <cell r="B28">
            <v>0.98578305485024209</v>
          </cell>
        </row>
        <row r="31">
          <cell r="B31">
            <v>0.89396170839469813</v>
          </cell>
        </row>
        <row r="35">
          <cell r="B35">
            <v>0.90746065375302665</v>
          </cell>
        </row>
        <row r="36">
          <cell r="B36">
            <v>0.9565135639147323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0.86719757082700732</v>
          </cell>
        </row>
        <row r="28">
          <cell r="B28">
            <v>1.0027099578166943</v>
          </cell>
        </row>
        <row r="31">
          <cell r="B31">
            <v>0.88453237410071939</v>
          </cell>
        </row>
        <row r="35">
          <cell r="B35">
            <v>0.88352120236178211</v>
          </cell>
        </row>
        <row r="36">
          <cell r="B36">
            <v>0.96706573778350546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0.95702990718459957</v>
          </cell>
        </row>
        <row r="28">
          <cell r="B28">
            <v>1.0045227326826947</v>
          </cell>
        </row>
        <row r="31">
          <cell r="B31">
            <v>0.81034482758620685</v>
          </cell>
        </row>
        <row r="35">
          <cell r="B35">
            <v>0.95951417004048578</v>
          </cell>
        </row>
        <row r="36">
          <cell r="B36">
            <v>0.98760470428970304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0.97011387207382638</v>
          </cell>
        </row>
        <row r="28">
          <cell r="B28">
            <v>0.97648738571166593</v>
          </cell>
        </row>
        <row r="31">
          <cell r="B31">
            <v>0.98072916666666665</v>
          </cell>
        </row>
        <row r="35">
          <cell r="B35">
            <v>0.87701549162187797</v>
          </cell>
        </row>
        <row r="36">
          <cell r="B36">
            <v>0.97213654710227704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0.89904301774598161</v>
          </cell>
        </row>
        <row r="28">
          <cell r="B28">
            <v>0.99153632089050958</v>
          </cell>
        </row>
        <row r="31">
          <cell r="B31">
            <v>0.86779367143476371</v>
          </cell>
        </row>
        <row r="35">
          <cell r="B35">
            <v>0.80198407518600701</v>
          </cell>
        </row>
        <row r="36">
          <cell r="B36">
            <v>0.96102645185326541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0.99282697539471731</v>
          </cell>
        </row>
        <row r="28">
          <cell r="B28">
            <v>1.0104735649662095</v>
          </cell>
        </row>
        <row r="31">
          <cell r="B31">
            <v>0.9505466778805719</v>
          </cell>
        </row>
        <row r="35">
          <cell r="B35">
            <v>0.9195305775407806</v>
          </cell>
        </row>
        <row r="36">
          <cell r="B36">
            <v>1.001304974352347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0.99154780771262552</v>
          </cell>
        </row>
        <row r="28">
          <cell r="B28">
            <v>0.98846202292480156</v>
          </cell>
        </row>
        <row r="31">
          <cell r="B31">
            <v>0.74625935162094759</v>
          </cell>
        </row>
        <row r="35">
          <cell r="B35">
            <v>0.85531370038412291</v>
          </cell>
        </row>
        <row r="36">
          <cell r="B36">
            <v>0.97574160189366599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1.0514531349505007</v>
          </cell>
        </row>
        <row r="28">
          <cell r="B28">
            <v>1.0239857076994006</v>
          </cell>
        </row>
        <row r="31">
          <cell r="B31">
            <v>1.0598603259062189</v>
          </cell>
        </row>
        <row r="35">
          <cell r="B35">
            <v>0.87165657677490371</v>
          </cell>
        </row>
        <row r="36">
          <cell r="B36">
            <v>1.0282537101274634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0.96052298608182196</v>
          </cell>
        </row>
        <row r="28">
          <cell r="B28">
            <v>0.97203682393555813</v>
          </cell>
        </row>
        <row r="31">
          <cell r="B31">
            <v>0.80319148936170215</v>
          </cell>
        </row>
        <row r="35">
          <cell r="B35">
            <v>0.94467213114754101</v>
          </cell>
        </row>
        <row r="36">
          <cell r="B36">
            <v>0.96438273468155755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0.95850932681231182</v>
          </cell>
        </row>
        <row r="28">
          <cell r="B28">
            <v>0.99981202401795977</v>
          </cell>
        </row>
        <row r="31">
          <cell r="B31">
            <v>1.1380208333333333</v>
          </cell>
        </row>
        <row r="35">
          <cell r="B35">
            <v>0.84703756292758492</v>
          </cell>
        </row>
        <row r="36">
          <cell r="B36">
            <v>0.99028313151631231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0.93639635968486823</v>
          </cell>
        </row>
        <row r="28">
          <cell r="B28">
            <v>0.95894618388826369</v>
          </cell>
        </row>
        <row r="31">
          <cell r="B31">
            <v>1.162779397473275</v>
          </cell>
        </row>
        <row r="35">
          <cell r="B35">
            <v>1.0149978876214618</v>
          </cell>
        </row>
        <row r="36">
          <cell r="B36">
            <v>0.95913218519346899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1.0110315023314</v>
          </cell>
        </row>
        <row r="28">
          <cell r="B28">
            <v>0.99106786245960565</v>
          </cell>
        </row>
        <row r="31">
          <cell r="B31">
            <v>0.82960893854748607</v>
          </cell>
        </row>
        <row r="35">
          <cell r="B35">
            <v>0.77608944954128445</v>
          </cell>
        </row>
        <row r="36">
          <cell r="B36">
            <v>0.98365919979282657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0.97809875713805849</v>
          </cell>
        </row>
        <row r="28">
          <cell r="B28">
            <v>1.0011109212100495</v>
          </cell>
        </row>
        <row r="31">
          <cell r="B31">
            <v>1.0837876614060258</v>
          </cell>
        </row>
        <row r="35">
          <cell r="B35">
            <v>0.75455845548802292</v>
          </cell>
        </row>
        <row r="36">
          <cell r="B36">
            <v>0.98879077736236443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1.0092738407699038</v>
          </cell>
        </row>
        <row r="28">
          <cell r="B28">
            <v>0.99703643938277253</v>
          </cell>
        </row>
        <row r="31">
          <cell r="B31">
            <v>0.93095238095238098</v>
          </cell>
        </row>
        <row r="35">
          <cell r="B35">
            <v>0.75731050404001543</v>
          </cell>
        </row>
        <row r="36">
          <cell r="B36">
            <v>0.9853552836720133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0.99544149924024983</v>
          </cell>
        </row>
        <row r="28">
          <cell r="B28">
            <v>0.94168682739634602</v>
          </cell>
        </row>
        <row r="31">
          <cell r="B31">
            <v>1.1630094043887147</v>
          </cell>
        </row>
        <row r="35">
          <cell r="B35">
            <v>0.83781362007168458</v>
          </cell>
        </row>
        <row r="36">
          <cell r="B36">
            <v>0.95254494328773187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0.98186669901146217</v>
          </cell>
        </row>
        <row r="28">
          <cell r="B28">
            <v>0.99762554784991786</v>
          </cell>
        </row>
        <row r="31">
          <cell r="B31">
            <v>1.0194174757281553</v>
          </cell>
        </row>
        <row r="35">
          <cell r="B35">
            <v>0.88306739699928549</v>
          </cell>
        </row>
        <row r="36">
          <cell r="B36">
            <v>0.99047045618416851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0.9659535365911126</v>
          </cell>
        </row>
        <row r="28">
          <cell r="B28">
            <v>1.0076406536629698</v>
          </cell>
        </row>
        <row r="31">
          <cell r="B31">
            <v>0.89459999999999995</v>
          </cell>
        </row>
        <row r="35">
          <cell r="B35">
            <v>0.95058930190389845</v>
          </cell>
        </row>
        <row r="36">
          <cell r="B36">
            <v>0.99553988308182995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0.96959890163773654</v>
          </cell>
        </row>
        <row r="28">
          <cell r="B28">
            <v>0.98722764838467314</v>
          </cell>
        </row>
        <row r="31">
          <cell r="B31">
            <v>0.60436893203883491</v>
          </cell>
        </row>
        <row r="35">
          <cell r="B35">
            <v>1.00382226469183</v>
          </cell>
        </row>
        <row r="36">
          <cell r="B36">
            <v>0.97182782842624416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0.98613728559108182</v>
          </cell>
        </row>
        <row r="28">
          <cell r="B28">
            <v>0.96444805194805194</v>
          </cell>
        </row>
        <row r="31">
          <cell r="B31">
            <v>1.0789473684210527</v>
          </cell>
        </row>
        <row r="35">
          <cell r="B35">
            <v>0.99045161290322581</v>
          </cell>
        </row>
        <row r="36">
          <cell r="B36">
            <v>0.97801019039957093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1.021965378379792</v>
          </cell>
        </row>
        <row r="28">
          <cell r="B28">
            <v>1.0252727094047891</v>
          </cell>
        </row>
        <row r="31">
          <cell r="B31">
            <v>1.3051584835301429</v>
          </cell>
        </row>
        <row r="35">
          <cell r="B35">
            <v>0.90973981119042135</v>
          </cell>
        </row>
        <row r="36">
          <cell r="B36">
            <v>1.0290986596152092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0.93450540958268935</v>
          </cell>
        </row>
        <row r="28">
          <cell r="B28">
            <v>0.96768592649754026</v>
          </cell>
        </row>
        <row r="31">
          <cell r="B31">
            <v>0.79221854304635764</v>
          </cell>
        </row>
        <row r="35">
          <cell r="B35">
            <v>0.79797441364605548</v>
          </cell>
        </row>
        <row r="36">
          <cell r="B36">
            <v>0.94821607765601246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1.0111792282726288</v>
          </cell>
        </row>
        <row r="28">
          <cell r="B28">
            <v>0.98637986098065</v>
          </cell>
        </row>
        <row r="31">
          <cell r="B31">
            <v>0.95993031358885017</v>
          </cell>
        </row>
        <row r="35">
          <cell r="B35">
            <v>0.76549586776859502</v>
          </cell>
        </row>
        <row r="36">
          <cell r="B36">
            <v>0.98565146213847787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0.97232576985413288</v>
          </cell>
        </row>
        <row r="28">
          <cell r="B28">
            <v>0.99539839491632198</v>
          </cell>
        </row>
        <row r="31">
          <cell r="B31">
            <v>0.91710037174721193</v>
          </cell>
        </row>
        <row r="35">
          <cell r="B35">
            <v>0.97682430316316948</v>
          </cell>
        </row>
        <row r="36">
          <cell r="B36">
            <v>0.98729496722371868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1.0106704524638213</v>
          </cell>
        </row>
        <row r="28">
          <cell r="B28">
            <v>0.99535199498642157</v>
          </cell>
        </row>
        <row r="31">
          <cell r="B31">
            <v>0.90732889158086005</v>
          </cell>
        </row>
        <row r="35">
          <cell r="B35">
            <v>0.91469916222391467</v>
          </cell>
        </row>
        <row r="36">
          <cell r="B36">
            <v>0.99263195757864076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0.92473625272587967</v>
          </cell>
        </row>
        <row r="28">
          <cell r="B28">
            <v>0.97240743367853599</v>
          </cell>
        </row>
        <row r="31">
          <cell r="B31">
            <v>0.76344086021505375</v>
          </cell>
        </row>
        <row r="35">
          <cell r="B35">
            <v>0.76904532304725171</v>
          </cell>
        </row>
        <row r="36">
          <cell r="B36">
            <v>0.94980055330373803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0.99262645627488566</v>
          </cell>
        </row>
        <row r="28">
          <cell r="B28">
            <v>0.96643540948025275</v>
          </cell>
        </row>
        <row r="31">
          <cell r="B31">
            <v>0.93434823977164605</v>
          </cell>
        </row>
        <row r="35">
          <cell r="B35">
            <v>1.1635006784260515</v>
          </cell>
        </row>
        <row r="36">
          <cell r="B36">
            <v>0.98724689820580236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0.99808322019008067</v>
          </cell>
        </row>
        <row r="28">
          <cell r="B28">
            <v>0.92920788835746582</v>
          </cell>
        </row>
        <row r="31">
          <cell r="B31">
            <v>1.0901001112347053</v>
          </cell>
        </row>
        <row r="35">
          <cell r="B35">
            <v>0.94324712643678166</v>
          </cell>
        </row>
        <row r="36">
          <cell r="B36">
            <v>0.95159426492617161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0.92629419243237621</v>
          </cell>
        </row>
        <row r="28">
          <cell r="B28">
            <v>1.0013788510840829</v>
          </cell>
        </row>
        <row r="31">
          <cell r="B31">
            <v>0.8860678744577698</v>
          </cell>
        </row>
        <row r="35">
          <cell r="B35">
            <v>0.83693592420105989</v>
          </cell>
        </row>
        <row r="36">
          <cell r="B36">
            <v>0.97501207826860781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0.93066025918418471</v>
          </cell>
        </row>
        <row r="28">
          <cell r="B28">
            <v>1.0026837394953205</v>
          </cell>
        </row>
        <row r="31">
          <cell r="B31">
            <v>1.3401622439158531</v>
          </cell>
        </row>
        <row r="35">
          <cell r="B35">
            <v>0.74957846386417815</v>
          </cell>
        </row>
        <row r="36">
          <cell r="B36">
            <v>0.98496230879633817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0.98651695526695526</v>
          </cell>
        </row>
        <row r="28">
          <cell r="B28">
            <v>0.99081132308706577</v>
          </cell>
        </row>
        <row r="31">
          <cell r="B31">
            <v>1.1871275327771156</v>
          </cell>
        </row>
        <row r="35">
          <cell r="B35">
            <v>0.99345053429851771</v>
          </cell>
        </row>
        <row r="36">
          <cell r="B36">
            <v>0.99234831124838097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0.84851398236007192</v>
          </cell>
        </row>
        <row r="28">
          <cell r="B28">
            <v>0.98090724839180288</v>
          </cell>
        </row>
        <row r="31">
          <cell r="B31">
            <v>1.0109730301427815</v>
          </cell>
        </row>
        <row r="35">
          <cell r="B35">
            <v>0.9610728696890577</v>
          </cell>
        </row>
        <row r="36">
          <cell r="B36">
            <v>0.94875404235783389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1.0397762290807377</v>
          </cell>
        </row>
        <row r="28">
          <cell r="B28">
            <v>0.99583541562552058</v>
          </cell>
        </row>
        <row r="31">
          <cell r="B31">
            <v>0.70983318700614573</v>
          </cell>
        </row>
        <row r="35">
          <cell r="B35">
            <v>0.91162790697674423</v>
          </cell>
        </row>
        <row r="36">
          <cell r="B36">
            <v>0.9954867342223751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1.0418480675255442</v>
          </cell>
        </row>
        <row r="28">
          <cell r="B28">
            <v>1.00414230735333</v>
          </cell>
        </row>
        <row r="31">
          <cell r="B31">
            <v>0.86378737541528239</v>
          </cell>
        </row>
        <row r="35">
          <cell r="B35">
            <v>0.98091133004926112</v>
          </cell>
        </row>
        <row r="36">
          <cell r="B36">
            <v>1.0086358580240671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0.99664851277754507</v>
          </cell>
        </row>
        <row r="28">
          <cell r="B28">
            <v>0.98838741954415565</v>
          </cell>
        </row>
        <row r="31">
          <cell r="B31">
            <v>0.98928024502297085</v>
          </cell>
        </row>
        <row r="35">
          <cell r="B35">
            <v>0.94885993485342024</v>
          </cell>
        </row>
        <row r="36">
          <cell r="B36">
            <v>0.98786059417308525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1.0213371266002844</v>
          </cell>
        </row>
        <row r="28">
          <cell r="B28">
            <v>0.98024308507977798</v>
          </cell>
        </row>
        <row r="31">
          <cell r="B31">
            <v>1.2480252764612954</v>
          </cell>
        </row>
        <row r="35">
          <cell r="B35">
            <v>1.1895664952240999</v>
          </cell>
        </row>
        <row r="36">
          <cell r="B36">
            <v>1.0054743236561419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0.96594985125371868</v>
          </cell>
        </row>
        <row r="28">
          <cell r="B28">
            <v>1.0014660357888909</v>
          </cell>
        </row>
        <row r="31">
          <cell r="B31">
            <v>1.0136195752539243</v>
          </cell>
        </row>
        <row r="35">
          <cell r="B35">
            <v>1.0224391566673445</v>
          </cell>
        </row>
        <row r="36">
          <cell r="B36">
            <v>0.9941732815402804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1.0144226442264423</v>
          </cell>
        </row>
        <row r="28">
          <cell r="B28">
            <v>0.99144964868035979</v>
          </cell>
        </row>
        <row r="31">
          <cell r="B31">
            <v>0.93267402054012938</v>
          </cell>
        </row>
        <row r="35">
          <cell r="B35">
            <v>0.90426311930449355</v>
          </cell>
        </row>
        <row r="36">
          <cell r="B36">
            <v>0.99161615865858543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0.99370972691009507</v>
          </cell>
        </row>
        <row r="28">
          <cell r="B28">
            <v>1.0083717232186704</v>
          </cell>
        </row>
        <row r="31">
          <cell r="B31">
            <v>0.7573333333333333</v>
          </cell>
        </row>
        <row r="35">
          <cell r="B35">
            <v>0.97952961672473871</v>
          </cell>
        </row>
        <row r="36">
          <cell r="B36">
            <v>0.99773470928769192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0.93594306049822062</v>
          </cell>
        </row>
        <row r="28">
          <cell r="B28">
            <v>0.99297545550368915</v>
          </cell>
        </row>
        <row r="31">
          <cell r="B31">
            <v>1.0747967479674796</v>
          </cell>
        </row>
        <row r="35">
          <cell r="B35">
            <v>0.95242548217416712</v>
          </cell>
        </row>
        <row r="36">
          <cell r="B36">
            <v>0.97744856645409872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0.9766302683947341</v>
          </cell>
        </row>
        <row r="28">
          <cell r="B28">
            <v>0.99582733429317971</v>
          </cell>
        </row>
        <row r="31">
          <cell r="B31">
            <v>0.99604156358238494</v>
          </cell>
        </row>
        <row r="35">
          <cell r="B35">
            <v>0.92670157068062831</v>
          </cell>
        </row>
        <row r="36">
          <cell r="B36">
            <v>0.98747517400561824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1.0707289564288258</v>
          </cell>
        </row>
        <row r="28">
          <cell r="B28">
            <v>1.0335121364884017</v>
          </cell>
        </row>
        <row r="31">
          <cell r="B31">
            <v>1.0407331975560081</v>
          </cell>
        </row>
        <row r="35">
          <cell r="B35">
            <v>0.89880253580652736</v>
          </cell>
        </row>
        <row r="36">
          <cell r="B36">
            <v>1.0407712919665844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1.0232598810772997</v>
          </cell>
        </row>
        <row r="28">
          <cell r="B28">
            <v>0.94743444988081793</v>
          </cell>
        </row>
        <row r="31">
          <cell r="B31">
            <v>0.94925373134328361</v>
          </cell>
        </row>
        <row r="35">
          <cell r="B35">
            <v>0.95104895104895104</v>
          </cell>
        </row>
        <row r="36">
          <cell r="B36">
            <v>0.96631878557874762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0.92292051526835861</v>
          </cell>
        </row>
        <row r="28">
          <cell r="B28">
            <v>0.99518052304686777</v>
          </cell>
        </row>
        <row r="31">
          <cell r="B31">
            <v>0.90122783083219649</v>
          </cell>
        </row>
        <row r="35">
          <cell r="B35">
            <v>0.86678726483357449</v>
          </cell>
        </row>
        <row r="36">
          <cell r="B36">
            <v>0.97514535086050491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0.97605999423132395</v>
          </cell>
        </row>
        <row r="28">
          <cell r="B28">
            <v>0.94979486072122654</v>
          </cell>
        </row>
        <row r="31">
          <cell r="B31">
            <v>0.87947269303201503</v>
          </cell>
        </row>
        <row r="35">
          <cell r="B35">
            <v>0.78378378378378377</v>
          </cell>
        </row>
        <row r="36">
          <cell r="B36">
            <v>0.9478931664362128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0.95049504950495045</v>
          </cell>
        </row>
        <row r="28">
          <cell r="B28">
            <v>0.99814893284863626</v>
          </cell>
        </row>
        <row r="31">
          <cell r="B31">
            <v>0.95123674911660783</v>
          </cell>
        </row>
        <row r="35">
          <cell r="B35">
            <v>0.84725822532402795</v>
          </cell>
        </row>
        <row r="36">
          <cell r="B36">
            <v>0.98349009069533089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0.93296985246953179</v>
          </cell>
        </row>
        <row r="28">
          <cell r="B28">
            <v>0.93533106786118836</v>
          </cell>
        </row>
        <row r="31">
          <cell r="B31">
            <v>1.0418410041841004</v>
          </cell>
        </row>
        <row r="35">
          <cell r="B35">
            <v>1.1254752851711027</v>
          </cell>
        </row>
        <row r="36">
          <cell r="B36">
            <v>0.94401942033249964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0.90191652644970655</v>
          </cell>
        </row>
        <row r="28">
          <cell r="B28">
            <v>0.96025493493847924</v>
          </cell>
        </row>
        <row r="31">
          <cell r="B31">
            <v>0.9424805272618334</v>
          </cell>
        </row>
        <row r="35">
          <cell r="B35">
            <v>0.79809425701776981</v>
          </cell>
        </row>
        <row r="36">
          <cell r="B36">
            <v>0.93895661252187801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0.97075801125970973</v>
          </cell>
        </row>
        <row r="28">
          <cell r="B28">
            <v>1.0037332920672379</v>
          </cell>
        </row>
        <row r="31">
          <cell r="B31">
            <v>1.1952255715152742</v>
          </cell>
        </row>
        <row r="35">
          <cell r="B35">
            <v>0.76741445347026394</v>
          </cell>
        </row>
        <row r="36">
          <cell r="B36">
            <v>0.98862048810402159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1.0521397379912665</v>
          </cell>
        </row>
        <row r="28">
          <cell r="B28">
            <v>1.002724932294627</v>
          </cell>
        </row>
        <row r="31">
          <cell r="B31">
            <v>0.77098511244852708</v>
          </cell>
        </row>
        <row r="35">
          <cell r="B35">
            <v>0.90707630319818688</v>
          </cell>
        </row>
        <row r="36">
          <cell r="B36">
            <v>1.0029494913518688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1.0286193082139772</v>
          </cell>
        </row>
        <row r="28">
          <cell r="B28">
            <v>1.0146770845572397</v>
          </cell>
        </row>
        <row r="31">
          <cell r="B31">
            <v>1.7274414620217018</v>
          </cell>
        </row>
        <row r="35">
          <cell r="B35">
            <v>0.96333991068646796</v>
          </cell>
        </row>
        <row r="36">
          <cell r="B36">
            <v>1.0467264711129234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1.0285336078835123</v>
          </cell>
        </row>
        <row r="28">
          <cell r="B28">
            <v>0.98526008652781971</v>
          </cell>
        </row>
        <row r="31">
          <cell r="B31">
            <v>1.0603085553997196</v>
          </cell>
        </row>
        <row r="35">
          <cell r="B35">
            <v>0.8528174936921783</v>
          </cell>
        </row>
        <row r="36">
          <cell r="B36">
            <v>0.99191714195738134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1.0262779289663899</v>
          </cell>
        </row>
        <row r="28">
          <cell r="B28">
            <v>1.0184531827998375</v>
          </cell>
        </row>
        <row r="31">
          <cell r="B31">
            <v>1.1397894736842105</v>
          </cell>
        </row>
        <row r="35">
          <cell r="B35">
            <v>1.088603040388594</v>
          </cell>
        </row>
        <row r="36">
          <cell r="B36">
            <v>1.0313353115727002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1.0160545248012116</v>
          </cell>
        </row>
        <row r="28">
          <cell r="B28">
            <v>1.0080743214316294</v>
          </cell>
        </row>
        <row r="31">
          <cell r="B31">
            <v>1.016230173367761</v>
          </cell>
        </row>
        <row r="35">
          <cell r="B35">
            <v>0.95866349709455889</v>
          </cell>
        </row>
        <row r="36">
          <cell r="B36">
            <v>1.0078589940487617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1.0900688655309896</v>
          </cell>
        </row>
        <row r="28">
          <cell r="B28">
            <v>1.0002561475409837</v>
          </cell>
        </row>
        <row r="31">
          <cell r="B31">
            <v>0.55189822294022617</v>
          </cell>
        </row>
        <row r="35">
          <cell r="B35">
            <v>0.93371428571428572</v>
          </cell>
        </row>
        <row r="36">
          <cell r="B36">
            <v>0.9714313880126183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0.91691258443176604</v>
          </cell>
        </row>
        <row r="28">
          <cell r="B28">
            <v>0.99259498613242858</v>
          </cell>
        </row>
        <row r="31">
          <cell r="B31">
            <v>1.0452567449956485</v>
          </cell>
        </row>
        <row r="35">
          <cell r="B35">
            <v>0.90189125295508277</v>
          </cell>
        </row>
        <row r="36">
          <cell r="B36">
            <v>0.96798959925508177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0.7919005701055023</v>
          </cell>
        </row>
        <row r="28">
          <cell r="B28">
            <v>0.99257729998438038</v>
          </cell>
        </row>
        <row r="31">
          <cell r="B31">
            <v>0.84935654806964422</v>
          </cell>
        </row>
        <row r="35">
          <cell r="B35">
            <v>0.71482508406583678</v>
          </cell>
        </row>
        <row r="36">
          <cell r="B36">
            <v>0.93419038498747242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0.72019068658798902</v>
          </cell>
        </row>
        <row r="28">
          <cell r="B28">
            <v>0.97555128350107434</v>
          </cell>
        </row>
        <row r="31">
          <cell r="B31">
            <v>0.54797106008178675</v>
          </cell>
        </row>
        <row r="35">
          <cell r="B35">
            <v>0.71128107074569791</v>
          </cell>
        </row>
        <row r="36">
          <cell r="B36">
            <v>0.90868092146264634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1.0043531255441407</v>
          </cell>
        </row>
        <row r="28">
          <cell r="B28">
            <v>0.93594427951587122</v>
          </cell>
        </row>
        <row r="31">
          <cell r="B31">
            <v>0.96010638297872342</v>
          </cell>
        </row>
        <row r="35">
          <cell r="B35">
            <v>1.0043859649122806</v>
          </cell>
        </row>
        <row r="36">
          <cell r="B36">
            <v>0.95392470217093517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0.91012867572909528</v>
          </cell>
        </row>
        <row r="28">
          <cell r="B28">
            <v>0.98648420998069175</v>
          </cell>
        </row>
        <row r="31">
          <cell r="B31">
            <v>1.1165644171779141</v>
          </cell>
        </row>
        <row r="35">
          <cell r="B35">
            <v>0.7905817174515235</v>
          </cell>
        </row>
        <row r="36">
          <cell r="B36">
            <v>0.96443840056630314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0.86759615384615385</v>
          </cell>
        </row>
        <row r="28">
          <cell r="B28">
            <v>1.0021277525068168</v>
          </cell>
        </row>
        <row r="31">
          <cell r="B31">
            <v>0.73253833049403749</v>
          </cell>
        </row>
        <row r="35">
          <cell r="B35">
            <v>0.76129117959617432</v>
          </cell>
        </row>
        <row r="36">
          <cell r="B36">
            <v>0.95962437933005906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0.91072158731863262</v>
          </cell>
        </row>
        <row r="28">
          <cell r="B28">
            <v>1.0044541306272561</v>
          </cell>
        </row>
        <row r="31">
          <cell r="B31">
            <v>0.97810041365885314</v>
          </cell>
        </row>
        <row r="35">
          <cell r="B35">
            <v>0.86259247097908176</v>
          </cell>
        </row>
        <row r="36">
          <cell r="B36">
            <v>0.97526843789378981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1.0018609267415173</v>
          </cell>
        </row>
        <row r="28">
          <cell r="B28">
            <v>0.98392507688006714</v>
          </cell>
        </row>
        <row r="31">
          <cell r="B31">
            <v>0.91808650065530795</v>
          </cell>
        </row>
        <row r="35">
          <cell r="B35">
            <v>0.95852821951980038</v>
          </cell>
        </row>
        <row r="36">
          <cell r="B36">
            <v>0.98560632192919184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0.91472976757210867</v>
          </cell>
        </row>
        <row r="28">
          <cell r="B28">
            <v>0.93827522218966697</v>
          </cell>
        </row>
        <row r="31">
          <cell r="B31">
            <v>1.3325471698113207</v>
          </cell>
        </row>
        <row r="35">
          <cell r="B35">
            <v>1.1111111111111112</v>
          </cell>
        </row>
        <row r="36">
          <cell r="B36">
            <v>0.94972213484324208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0.96006402561024407</v>
          </cell>
        </row>
        <row r="28">
          <cell r="B28">
            <v>0.99604815017029358</v>
          </cell>
        </row>
        <row r="31">
          <cell r="B31">
            <v>0.91314285714285715</v>
          </cell>
        </row>
        <row r="35">
          <cell r="B35">
            <v>0.86968204209583522</v>
          </cell>
        </row>
        <row r="36">
          <cell r="B36">
            <v>0.98117116117338066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0.90502545043225335</v>
          </cell>
        </row>
        <row r="28">
          <cell r="B28">
            <v>0.99599872907141429</v>
          </cell>
        </row>
        <row r="31">
          <cell r="B31">
            <v>0.65004393673110716</v>
          </cell>
        </row>
        <row r="35">
          <cell r="B35">
            <v>0.81888975414395371</v>
          </cell>
        </row>
        <row r="36">
          <cell r="B36">
            <v>0.9594973390395275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0.78574897212599959</v>
          </cell>
        </row>
        <row r="28">
          <cell r="B28">
            <v>0.96830999776923377</v>
          </cell>
        </row>
        <row r="31">
          <cell r="B31">
            <v>0.65534382767191379</v>
          </cell>
        </row>
        <row r="35">
          <cell r="B35">
            <v>0.76361785168844387</v>
          </cell>
        </row>
        <row r="36">
          <cell r="B36">
            <v>0.90244621023716887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0.85338528981977591</v>
          </cell>
        </row>
        <row r="28">
          <cell r="B28">
            <v>0.95598746523009748</v>
          </cell>
        </row>
        <row r="31">
          <cell r="B31">
            <v>0.79532814238042271</v>
          </cell>
        </row>
        <row r="35">
          <cell r="B35">
            <v>0.72353389185072359</v>
          </cell>
        </row>
        <row r="36">
          <cell r="B36">
            <v>0.91909332601070937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0.90533522971587344</v>
          </cell>
        </row>
        <row r="28">
          <cell r="B28">
            <v>0.99812348886723679</v>
          </cell>
        </row>
        <row r="31">
          <cell r="B31">
            <v>0.64978902953586493</v>
          </cell>
        </row>
        <row r="35">
          <cell r="B35">
            <v>0.68722257450856061</v>
          </cell>
        </row>
        <row r="36">
          <cell r="B36">
            <v>0.95689444843753091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0.96542990735128587</v>
          </cell>
        </row>
        <row r="28">
          <cell r="B28">
            <v>0.98827091014942747</v>
          </cell>
        </row>
        <row r="31">
          <cell r="B31">
            <v>0.83865546218487397</v>
          </cell>
        </row>
        <row r="35">
          <cell r="B35">
            <v>0.76959142665773606</v>
          </cell>
        </row>
        <row r="36">
          <cell r="B36">
            <v>0.96736923701598321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0.90141494924638577</v>
          </cell>
        </row>
        <row r="28">
          <cell r="B28">
            <v>0.99576004365895643</v>
          </cell>
        </row>
        <row r="31">
          <cell r="B31">
            <v>0.82768777614138433</v>
          </cell>
        </row>
        <row r="35">
          <cell r="B35">
            <v>0.88275193798449614</v>
          </cell>
        </row>
        <row r="36">
          <cell r="B36">
            <v>0.96940750452644064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0.90698766514307183</v>
          </cell>
        </row>
        <row r="28">
          <cell r="B28">
            <v>1.0178491744756806</v>
          </cell>
        </row>
        <row r="31">
          <cell r="B31">
            <v>0.90935114503816794</v>
          </cell>
        </row>
        <row r="35">
          <cell r="B35">
            <v>0.76683013820775747</v>
          </cell>
        </row>
        <row r="36">
          <cell r="B36">
            <v>0.98156234477748039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0.93919973513692478</v>
          </cell>
        </row>
        <row r="28">
          <cell r="B28">
            <v>1.0015029406593656</v>
          </cell>
        </row>
        <row r="31">
          <cell r="B31">
            <v>0.70847161572052397</v>
          </cell>
        </row>
        <row r="35">
          <cell r="B35">
            <v>0.87205450932147255</v>
          </cell>
        </row>
        <row r="36">
          <cell r="B36">
            <v>0.97732216825103557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0.75972911102632579</v>
          </cell>
        </row>
        <row r="28">
          <cell r="B28">
            <v>1.0389579185830988</v>
          </cell>
        </row>
        <row r="31">
          <cell r="B31">
            <v>1.1370023419203747</v>
          </cell>
        </row>
        <row r="35">
          <cell r="B35">
            <v>0.80901213171577124</v>
          </cell>
        </row>
        <row r="36">
          <cell r="B36">
            <v>0.95806905459326064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0.91153632834165277</v>
          </cell>
        </row>
        <row r="28">
          <cell r="B28">
            <v>0.97811500351096203</v>
          </cell>
        </row>
        <row r="31">
          <cell r="B31">
            <v>1.0799289520426287</v>
          </cell>
        </row>
        <row r="35">
          <cell r="B35">
            <v>1.1076244813278009</v>
          </cell>
        </row>
        <row r="36">
          <cell r="B36">
            <v>0.95698319362775763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0.95199789695057835</v>
          </cell>
        </row>
        <row r="28">
          <cell r="B28">
            <v>0.98999523582658411</v>
          </cell>
        </row>
        <row r="31">
          <cell r="B31">
            <v>0.56808974758491737</v>
          </cell>
        </row>
        <row r="35">
          <cell r="B35">
            <v>0.88443294523501514</v>
          </cell>
        </row>
        <row r="36">
          <cell r="B36">
            <v>0.9607467687888942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0.91061982233755867</v>
          </cell>
        </row>
        <row r="28">
          <cell r="B28">
            <v>1.0141667966589616</v>
          </cell>
        </row>
        <row r="31">
          <cell r="B31">
            <v>0.76752767527675281</v>
          </cell>
        </row>
        <row r="35">
          <cell r="B35">
            <v>0.77260348583877991</v>
          </cell>
        </row>
        <row r="36">
          <cell r="B36">
            <v>0.97555370900399063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0.8476276343964837</v>
          </cell>
        </row>
        <row r="28">
          <cell r="B28">
            <v>1.0016264696314885</v>
          </cell>
        </row>
        <row r="31">
          <cell r="B31">
            <v>0.85648148148148151</v>
          </cell>
        </row>
        <row r="35">
          <cell r="B35">
            <v>0.73248407643312097</v>
          </cell>
        </row>
        <row r="36">
          <cell r="B36">
            <v>0.94803326871365146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0.93581303489137591</v>
          </cell>
        </row>
        <row r="28">
          <cell r="B28">
            <v>0.9855902238397467</v>
          </cell>
        </row>
        <row r="31">
          <cell r="B31">
            <v>1.0312800769971127</v>
          </cell>
        </row>
        <row r="35">
          <cell r="B35">
            <v>0.98209951456310685</v>
          </cell>
        </row>
        <row r="36">
          <cell r="B36">
            <v>0.97401075346197741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0.99833487511563368</v>
          </cell>
        </row>
        <row r="28">
          <cell r="B28">
            <v>0.9615179600048146</v>
          </cell>
        </row>
        <row r="31">
          <cell r="B31">
            <v>0.69863861386138615</v>
          </cell>
        </row>
        <row r="35">
          <cell r="B35">
            <v>0.8293090638930164</v>
          </cell>
        </row>
        <row r="36">
          <cell r="B36">
            <v>0.95759244961222445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0.87883194694898492</v>
          </cell>
        </row>
        <row r="28">
          <cell r="B28">
            <v>0.97493576161925799</v>
          </cell>
        </row>
        <row r="31">
          <cell r="B31">
            <v>0.69221411192214111</v>
          </cell>
        </row>
        <row r="35">
          <cell r="B35">
            <v>0.80348896870189845</v>
          </cell>
        </row>
        <row r="36">
          <cell r="B36">
            <v>0.94044584006964305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1.0390822340724108</v>
          </cell>
        </row>
        <row r="28">
          <cell r="B28">
            <v>0.99238222024998146</v>
          </cell>
        </row>
        <row r="31">
          <cell r="B31">
            <v>1.5315005727376862</v>
          </cell>
        </row>
        <row r="35">
          <cell r="B35">
            <v>0.87949836423118866</v>
          </cell>
        </row>
        <row r="36">
          <cell r="B36">
            <v>1.0081378858950583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0.98932747390724318</v>
          </cell>
        </row>
        <row r="28">
          <cell r="B28">
            <v>0.98240385529945151</v>
          </cell>
        </row>
        <row r="31">
          <cell r="B31">
            <v>0.98258977149075077</v>
          </cell>
        </row>
        <row r="35">
          <cell r="B35">
            <v>0.91449565798263188</v>
          </cell>
        </row>
        <row r="36">
          <cell r="B36">
            <v>0.98001950328858645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0.87902782321780348</v>
          </cell>
        </row>
        <row r="28">
          <cell r="B28">
            <v>0.99437358150229438</v>
          </cell>
        </row>
        <row r="31">
          <cell r="B31">
            <v>0.92048914882304611</v>
          </cell>
        </row>
        <row r="35">
          <cell r="B35">
            <v>0.73056137474572669</v>
          </cell>
        </row>
        <row r="36">
          <cell r="B36">
            <v>0.95620196130400215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0.87855919255521087</v>
          </cell>
        </row>
        <row r="28">
          <cell r="B28">
            <v>1.0150392448970516</v>
          </cell>
        </row>
        <row r="31">
          <cell r="B31">
            <v>0.83793062625784298</v>
          </cell>
        </row>
        <row r="35">
          <cell r="B35">
            <v>0.67592495545540299</v>
          </cell>
        </row>
        <row r="36">
          <cell r="B36">
            <v>0.97333006837415592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1.0850149636596835</v>
          </cell>
        </row>
        <row r="28">
          <cell r="B28">
            <v>0.99901114579948858</v>
          </cell>
        </row>
        <row r="31">
          <cell r="B31">
            <v>1.0059895833333334</v>
          </cell>
        </row>
        <row r="35">
          <cell r="B35">
            <v>1.0803662258392674</v>
          </cell>
        </row>
        <row r="36">
          <cell r="B36">
            <v>1.0352896583199895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0.83685755135826623</v>
          </cell>
        </row>
        <row r="28">
          <cell r="B28">
            <v>0.99645032190708194</v>
          </cell>
        </row>
        <row r="31">
          <cell r="B31">
            <v>1.1091465961297509</v>
          </cell>
        </row>
        <row r="35">
          <cell r="B35">
            <v>0.67880704432691785</v>
          </cell>
        </row>
        <row r="36">
          <cell r="B36">
            <v>0.94315863452445126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0.91588306489153715</v>
          </cell>
        </row>
        <row r="28">
          <cell r="B28">
            <v>1.0018370642528038</v>
          </cell>
        </row>
        <row r="31">
          <cell r="B31">
            <v>0.79724137931034478</v>
          </cell>
        </row>
        <row r="35">
          <cell r="B35">
            <v>0.90897369778236203</v>
          </cell>
        </row>
        <row r="36">
          <cell r="B36">
            <v>0.97393564408527478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0.9538407637733205</v>
          </cell>
        </row>
        <row r="28">
          <cell r="B28">
            <v>0.95732081492390775</v>
          </cell>
        </row>
        <row r="31">
          <cell r="B31">
            <v>0.94758478931140799</v>
          </cell>
        </row>
        <row r="35">
          <cell r="B35">
            <v>0.96771403862784666</v>
          </cell>
        </row>
        <row r="36">
          <cell r="B36">
            <v>0.95704939010546741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1.0314252437235787</v>
          </cell>
        </row>
        <row r="28">
          <cell r="B28">
            <v>1.0140083012155352</v>
          </cell>
        </row>
        <row r="31">
          <cell r="B31">
            <v>1.0567213114754099</v>
          </cell>
        </row>
        <row r="35">
          <cell r="B35">
            <v>0.93424001236380494</v>
          </cell>
        </row>
        <row r="36">
          <cell r="B36">
            <v>1.013453441461968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1.024254005585771</v>
          </cell>
        </row>
        <row r="28">
          <cell r="B28">
            <v>1.0079178586023703</v>
          </cell>
        </row>
        <row r="31">
          <cell r="B31">
            <v>0.87398843930635839</v>
          </cell>
        </row>
        <row r="35">
          <cell r="B35">
            <v>0.95029673590504449</v>
          </cell>
        </row>
        <row r="36">
          <cell r="B36">
            <v>1.0050363738108561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0.88020045067769814</v>
          </cell>
        </row>
        <row r="28">
          <cell r="B28">
            <v>1.0031549274740046</v>
          </cell>
        </row>
        <row r="31">
          <cell r="B31">
            <v>1.0040453074433657</v>
          </cell>
        </row>
        <row r="35">
          <cell r="B35">
            <v>1.0835890593729154</v>
          </cell>
        </row>
        <row r="36">
          <cell r="B36">
            <v>0.97760659786908921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0.93534925087227205</v>
          </cell>
        </row>
        <row r="28">
          <cell r="B28">
            <v>1.0026156800449131</v>
          </cell>
        </row>
        <row r="31">
          <cell r="B31">
            <v>0.91055662188099806</v>
          </cell>
        </row>
        <row r="35">
          <cell r="B35">
            <v>0.88952502120441057</v>
          </cell>
        </row>
        <row r="36">
          <cell r="B36">
            <v>0.98259928986291067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1.0180689763532091</v>
          </cell>
        </row>
        <row r="28">
          <cell r="B28">
            <v>1.0342835558913057</v>
          </cell>
        </row>
        <row r="31">
          <cell r="B31">
            <v>1.0411483253588516</v>
          </cell>
        </row>
        <row r="35">
          <cell r="B35">
            <v>0.86908447589562143</v>
          </cell>
        </row>
        <row r="36">
          <cell r="B36">
            <v>1.02490088791324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0.83341954480343783</v>
          </cell>
        </row>
        <row r="28">
          <cell r="B28">
            <v>1.0157933811784292</v>
          </cell>
        </row>
        <row r="31">
          <cell r="B31">
            <v>0.93711790393013106</v>
          </cell>
        </row>
        <row r="35">
          <cell r="B35">
            <v>1.1332470892626132</v>
          </cell>
        </row>
        <row r="36">
          <cell r="B36">
            <v>0.97285035287339772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0.94533472077696845</v>
          </cell>
        </row>
        <row r="28">
          <cell r="B28">
            <v>0.98479187061370244</v>
          </cell>
        </row>
        <row r="31">
          <cell r="B31">
            <v>0.82936668011294878</v>
          </cell>
        </row>
        <row r="35">
          <cell r="B35">
            <v>0.82019085886489207</v>
          </cell>
        </row>
        <row r="36">
          <cell r="B36">
            <v>0.96197033030079504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0.99767387764596416</v>
          </cell>
        </row>
        <row r="28">
          <cell r="B28">
            <v>1.0461330732878253</v>
          </cell>
        </row>
        <row r="31">
          <cell r="B31">
            <v>1.0310965630114566</v>
          </cell>
        </row>
        <row r="35">
          <cell r="B35">
            <v>0.89968080255357952</v>
          </cell>
        </row>
        <row r="36">
          <cell r="B36">
            <v>1.0132267842380822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0.92041467304625202</v>
          </cell>
        </row>
        <row r="28">
          <cell r="B28">
            <v>0.99599138446811053</v>
          </cell>
        </row>
        <row r="31">
          <cell r="B31">
            <v>0.99599198396793587</v>
          </cell>
        </row>
        <row r="35">
          <cell r="B35">
            <v>0.91448931116389554</v>
          </cell>
        </row>
        <row r="36">
          <cell r="B36">
            <v>0.97368961973278523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0.85377761348137005</v>
          </cell>
        </row>
        <row r="28">
          <cell r="B28">
            <v>1.0022370671491956</v>
          </cell>
        </row>
        <row r="31">
          <cell r="B31">
            <v>0.8250705360741637</v>
          </cell>
        </row>
        <row r="35">
          <cell r="B35">
            <v>0.83776860680233389</v>
          </cell>
        </row>
        <row r="36">
          <cell r="B36">
            <v>0.96527279612203087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0.97479467572925516</v>
          </cell>
        </row>
        <row r="28">
          <cell r="B28">
            <v>0.94264168190127973</v>
          </cell>
        </row>
        <row r="31">
          <cell r="B31">
            <v>1.3585526315789473</v>
          </cell>
        </row>
        <row r="35">
          <cell r="B35">
            <v>0.86363636363636365</v>
          </cell>
        </row>
        <row r="36">
          <cell r="B36">
            <v>0.95791644390132136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0.91533406061251099</v>
          </cell>
        </row>
        <row r="28">
          <cell r="B28">
            <v>1.0102476042762976</v>
          </cell>
        </row>
        <row r="31">
          <cell r="B31">
            <v>0.8693140794223827</v>
          </cell>
        </row>
        <row r="35">
          <cell r="B35">
            <v>0.71425781249999998</v>
          </cell>
        </row>
        <row r="36">
          <cell r="B36">
            <v>0.97928534134307954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0.90703597580388406</v>
          </cell>
        </row>
        <row r="28">
          <cell r="B28">
            <v>0.94655905769440507</v>
          </cell>
        </row>
        <row r="31">
          <cell r="B31">
            <v>1.0669456066945606</v>
          </cell>
        </row>
        <row r="35">
          <cell r="B35">
            <v>1.1083333333333334</v>
          </cell>
        </row>
        <row r="36">
          <cell r="B36">
            <v>0.94668796106167774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0.73011374975054877</v>
          </cell>
        </row>
        <row r="28">
          <cell r="B28">
            <v>0.92267027643203192</v>
          </cell>
        </row>
        <row r="31">
          <cell r="B31">
            <v>0.77065217391304353</v>
          </cell>
        </row>
        <row r="35">
          <cell r="B35">
            <v>0.70387288977159879</v>
          </cell>
        </row>
        <row r="36">
          <cell r="B36">
            <v>0.86189403584369795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0.8662416275077176</v>
          </cell>
        </row>
        <row r="28">
          <cell r="B28">
            <v>0.97713124841686727</v>
          </cell>
        </row>
        <row r="31">
          <cell r="B31">
            <v>0.93182225407633046</v>
          </cell>
        </row>
        <row r="35">
          <cell r="B35">
            <v>0.59372206928604632</v>
          </cell>
        </row>
        <row r="36">
          <cell r="B36">
            <v>0.93203005564590213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0.9285456224158003</v>
          </cell>
        </row>
        <row r="28">
          <cell r="B28">
            <v>1.0176501650165017</v>
          </cell>
        </row>
        <row r="31">
          <cell r="B31">
            <v>0.79166666666666663</v>
          </cell>
        </row>
        <row r="35">
          <cell r="B35">
            <v>0.84448305821025194</v>
          </cell>
        </row>
        <row r="36">
          <cell r="B36">
            <v>0.9843334044467531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1.0164769166492584</v>
          </cell>
        </row>
        <row r="28">
          <cell r="B28">
            <v>1.0083568563363541</v>
          </cell>
        </row>
        <row r="31">
          <cell r="B31">
            <v>0.5329834311001338</v>
          </cell>
        </row>
        <row r="35">
          <cell r="B35">
            <v>0.91031570480595214</v>
          </cell>
        </row>
        <row r="36">
          <cell r="B36">
            <v>0.97646313120642303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0.9881607929515418</v>
          </cell>
        </row>
        <row r="28">
          <cell r="B28">
            <v>0.9907803949559838</v>
          </cell>
        </row>
        <row r="31">
          <cell r="B31">
            <v>0.59868421052631582</v>
          </cell>
        </row>
        <row r="35">
          <cell r="B35">
            <v>0.99070945945945943</v>
          </cell>
        </row>
        <row r="36">
          <cell r="B36">
            <v>0.97859338970023058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0.91887850980069408</v>
          </cell>
        </row>
        <row r="28">
          <cell r="B28">
            <v>1.0047540543649121</v>
          </cell>
        </row>
        <row r="31">
          <cell r="B31">
            <v>0.99766042780748665</v>
          </cell>
        </row>
        <row r="35">
          <cell r="B35">
            <v>1.1547545059042883</v>
          </cell>
        </row>
        <row r="36">
          <cell r="B36">
            <v>0.97164653132395062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0.97380288619219413</v>
          </cell>
        </row>
        <row r="28">
          <cell r="B28">
            <v>0.99006565007468128</v>
          </cell>
        </row>
        <row r="31">
          <cell r="B31">
            <v>1.0347728547392037</v>
          </cell>
        </row>
        <row r="35">
          <cell r="B35">
            <v>0.93913390540810215</v>
          </cell>
        </row>
        <row r="36">
          <cell r="B36">
            <v>0.98052521884118382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0.91391954432182276</v>
          </cell>
        </row>
        <row r="28">
          <cell r="B28">
            <v>1.0158094690319066</v>
          </cell>
        </row>
        <row r="31">
          <cell r="B31">
            <v>0.99351818509182566</v>
          </cell>
        </row>
        <row r="35">
          <cell r="B35">
            <v>0.85117837061849499</v>
          </cell>
        </row>
        <row r="36">
          <cell r="B36">
            <v>0.9848980890689133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0.93988611966769342</v>
          </cell>
        </row>
        <row r="28">
          <cell r="B28">
            <v>0.98916635437604339</v>
          </cell>
        </row>
        <row r="31">
          <cell r="B31">
            <v>0.7000739644970414</v>
          </cell>
        </row>
        <row r="35">
          <cell r="B35">
            <v>0.7712714331931414</v>
          </cell>
        </row>
        <row r="36">
          <cell r="B36">
            <v>0.9459235516015787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0.84300570278430054</v>
          </cell>
        </row>
        <row r="28">
          <cell r="B28">
            <v>0.95046757784400371</v>
          </cell>
        </row>
        <row r="31">
          <cell r="B31">
            <v>0.83725135623869806</v>
          </cell>
        </row>
        <row r="35">
          <cell r="B35">
            <v>0.83463949843260188</v>
          </cell>
        </row>
        <row r="36">
          <cell r="B36">
            <v>0.91923824900011009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0.81682220304239939</v>
          </cell>
        </row>
        <row r="28">
          <cell r="B28">
            <v>0.97711020936872162</v>
          </cell>
        </row>
        <row r="31">
          <cell r="B31">
            <v>0.76819407008086249</v>
          </cell>
        </row>
        <row r="35">
          <cell r="B35">
            <v>0.87135678391959803</v>
          </cell>
        </row>
        <row r="36">
          <cell r="B36">
            <v>0.94130244577381683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0.74860028543199031</v>
          </cell>
        </row>
        <row r="28">
          <cell r="B28">
            <v>0.98115715805001891</v>
          </cell>
        </row>
        <row r="31">
          <cell r="B31">
            <v>0.57711651299245603</v>
          </cell>
        </row>
        <row r="35">
          <cell r="B35">
            <v>0.72251403731208119</v>
          </cell>
        </row>
        <row r="36">
          <cell r="B36">
            <v>0.92354607126391364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0.85960829939887529</v>
          </cell>
        </row>
        <row r="28">
          <cell r="B28">
            <v>0.96164331452482088</v>
          </cell>
        </row>
        <row r="31">
          <cell r="B31">
            <v>1.0896226415094339</v>
          </cell>
        </row>
        <row r="35">
          <cell r="B35">
            <v>0.96455696202531649</v>
          </cell>
        </row>
        <row r="36">
          <cell r="B36">
            <v>0.93999724125247142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0.87978843586320221</v>
          </cell>
        </row>
        <row r="28">
          <cell r="B28">
            <v>0.97245709850018025</v>
          </cell>
        </row>
        <row r="31">
          <cell r="B31">
            <v>0.95081081081081076</v>
          </cell>
        </row>
        <row r="35">
          <cell r="B35">
            <v>0.692064606741573</v>
          </cell>
        </row>
        <row r="36">
          <cell r="B36">
            <v>0.94501318603733619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0.8259216670968953</v>
          </cell>
        </row>
        <row r="28">
          <cell r="B28">
            <v>0.96940563786417422</v>
          </cell>
        </row>
        <row r="31">
          <cell r="B31">
            <v>0.73375671714704449</v>
          </cell>
        </row>
        <row r="35">
          <cell r="B35">
            <v>0.72024071627770436</v>
          </cell>
        </row>
        <row r="36">
          <cell r="B36">
            <v>0.93035289686183109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0.92885179932051321</v>
          </cell>
        </row>
        <row r="28">
          <cell r="B28">
            <v>0.99424182060505306</v>
          </cell>
        </row>
        <row r="31">
          <cell r="B31">
            <v>0.99006682318945283</v>
          </cell>
        </row>
        <row r="35">
          <cell r="B35">
            <v>0.8534689935538935</v>
          </cell>
        </row>
        <row r="36">
          <cell r="B36">
            <v>0.97333177300058205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0.9328293566422553</v>
          </cell>
        </row>
        <row r="28">
          <cell r="B28">
            <v>0.98439647895815752</v>
          </cell>
        </row>
        <row r="31">
          <cell r="B31">
            <v>1.0232919254658386</v>
          </cell>
        </row>
        <row r="35">
          <cell r="B35">
            <v>0.88623853211009174</v>
          </cell>
        </row>
        <row r="36">
          <cell r="B36">
            <v>0.96940371624525157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1.1252506980219434</v>
          </cell>
        </row>
        <row r="28">
          <cell r="B28">
            <v>0.94915303995537681</v>
          </cell>
        </row>
        <row r="31">
          <cell r="B31">
            <v>0.93898522800256901</v>
          </cell>
        </row>
        <row r="35">
          <cell r="B35">
            <v>1.1030494216614091</v>
          </cell>
        </row>
        <row r="36">
          <cell r="B36">
            <v>1.0269841025087505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0.84143742735373883</v>
          </cell>
        </row>
        <row r="28">
          <cell r="B28">
            <v>0.94101336022183013</v>
          </cell>
        </row>
        <row r="31">
          <cell r="B31">
            <v>0.90380047505938244</v>
          </cell>
        </row>
        <row r="35">
          <cell r="B35">
            <v>0.77099634846113718</v>
          </cell>
        </row>
        <row r="36">
          <cell r="B36">
            <v>0.91261837412372404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0.87876588021778579</v>
          </cell>
        </row>
        <row r="28">
          <cell r="B28">
            <v>0.99465179167715867</v>
          </cell>
        </row>
        <row r="31">
          <cell r="B31">
            <v>0.88240405503258512</v>
          </cell>
        </row>
        <row r="35">
          <cell r="B35">
            <v>0.67127038933206329</v>
          </cell>
        </row>
        <row r="36">
          <cell r="B36">
            <v>0.95912617428592672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0.83964402653009818</v>
          </cell>
        </row>
        <row r="28">
          <cell r="B28">
            <v>0.99117658440938583</v>
          </cell>
        </row>
        <row r="31">
          <cell r="B31">
            <v>0.84281150159744411</v>
          </cell>
        </row>
        <row r="35">
          <cell r="B35">
            <v>0.76323366555924699</v>
          </cell>
        </row>
        <row r="36">
          <cell r="B36">
            <v>0.94583096729750615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0.78656434935292974</v>
          </cell>
        </row>
        <row r="28">
          <cell r="B28">
            <v>0.97141875906281006</v>
          </cell>
        </row>
        <row r="31">
          <cell r="B31">
            <v>0.62097735399284859</v>
          </cell>
        </row>
        <row r="35">
          <cell r="B35">
            <v>0.77490251683800071</v>
          </cell>
        </row>
        <row r="36">
          <cell r="B36">
            <v>0.91976094836876654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0.89133281972265022</v>
          </cell>
        </row>
        <row r="28">
          <cell r="B28">
            <v>1.0018822860897283</v>
          </cell>
        </row>
        <row r="31">
          <cell r="B31">
            <v>1.1339055793991417</v>
          </cell>
        </row>
        <row r="35">
          <cell r="B35">
            <v>0.59334041799504078</v>
          </cell>
        </row>
        <row r="36">
          <cell r="B36">
            <v>0.96866236823252483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0.99691818021067524</v>
          </cell>
        </row>
        <row r="28">
          <cell r="B28">
            <v>0.99499196753829566</v>
          </cell>
        </row>
        <row r="31">
          <cell r="B31">
            <v>1.1034293552812071</v>
          </cell>
        </row>
        <row r="35">
          <cell r="B35">
            <v>0.7998864281658149</v>
          </cell>
        </row>
        <row r="36">
          <cell r="B36">
            <v>0.98824096542161366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0.88884493670886078</v>
          </cell>
        </row>
        <row r="28">
          <cell r="B28">
            <v>0.94866391300682795</v>
          </cell>
        </row>
        <row r="31">
          <cell r="B31">
            <v>0.90413223140495869</v>
          </cell>
        </row>
        <row r="35">
          <cell r="B35">
            <v>0.58279370952821463</v>
          </cell>
        </row>
        <row r="36">
          <cell r="B36">
            <v>0.92487199684915322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0.8787571385632702</v>
          </cell>
        </row>
        <row r="28">
          <cell r="B28">
            <v>1.0121020460615271</v>
          </cell>
        </row>
        <row r="31">
          <cell r="B31">
            <v>0.90530697190426634</v>
          </cell>
        </row>
        <row r="35">
          <cell r="B35">
            <v>0.8294331773270931</v>
          </cell>
        </row>
        <row r="36">
          <cell r="B36">
            <v>0.97553190616461394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0.92456251201890061</v>
          </cell>
        </row>
        <row r="28">
          <cell r="B28">
            <v>1.0084041439990357</v>
          </cell>
        </row>
        <row r="31">
          <cell r="B31">
            <v>0.94906033630069242</v>
          </cell>
        </row>
        <row r="35">
          <cell r="B35">
            <v>0.80024534859946839</v>
          </cell>
        </row>
        <row r="36">
          <cell r="B36">
            <v>0.98551272577291238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0.80491367861885788</v>
          </cell>
        </row>
        <row r="28">
          <cell r="B28">
            <v>0.89436119593778851</v>
          </cell>
        </row>
        <row r="31">
          <cell r="B31">
            <v>0.58830409356725144</v>
          </cell>
        </row>
        <row r="35">
          <cell r="B35">
            <v>0.58364938895912344</v>
          </cell>
        </row>
        <row r="36">
          <cell r="B36">
            <v>0.85138746145940392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1.0476032692732493</v>
          </cell>
        </row>
        <row r="28">
          <cell r="B28">
            <v>1.0469216164903716</v>
          </cell>
        </row>
        <row r="31">
          <cell r="B31">
            <v>1.2041420118343196</v>
          </cell>
        </row>
        <row r="35">
          <cell r="B35">
            <v>0.83145091225021717</v>
          </cell>
        </row>
        <row r="36">
          <cell r="B36">
            <v>1.0381873727087576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0.95215282352236663</v>
          </cell>
        </row>
        <row r="28">
          <cell r="B28">
            <v>0.99478205310237111</v>
          </cell>
        </row>
        <row r="31">
          <cell r="B31">
            <v>0.85010593220338981</v>
          </cell>
        </row>
        <row r="35">
          <cell r="B35">
            <v>0.88153310104529614</v>
          </cell>
        </row>
        <row r="36">
          <cell r="B36">
            <v>0.97619768791963246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0.87976740208654014</v>
          </cell>
        </row>
        <row r="28">
          <cell r="B28">
            <v>0.96914092562133125</v>
          </cell>
        </row>
        <row r="31">
          <cell r="B31">
            <v>1.0445261437908497</v>
          </cell>
        </row>
        <row r="35">
          <cell r="B35">
            <v>0.85210084033613442</v>
          </cell>
        </row>
        <row r="36">
          <cell r="B36">
            <v>0.94973832550737958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0.85123722032893767</v>
          </cell>
        </row>
        <row r="28">
          <cell r="B28">
            <v>1.0015457443725244</v>
          </cell>
        </row>
        <row r="31">
          <cell r="B31">
            <v>0.78642384105960261</v>
          </cell>
        </row>
        <row r="35">
          <cell r="B35">
            <v>0.81879194630872487</v>
          </cell>
        </row>
        <row r="36">
          <cell r="B36">
            <v>0.95708333333333329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0.90851383437515143</v>
          </cell>
        </row>
        <row r="28">
          <cell r="B28">
            <v>1.0078385921034572</v>
          </cell>
        </row>
        <row r="31">
          <cell r="B31">
            <v>0.80651945320715035</v>
          </cell>
        </row>
        <row r="35">
          <cell r="B35">
            <v>0.78740690589031825</v>
          </cell>
        </row>
        <row r="36">
          <cell r="B36">
            <v>0.97397491928930668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0.92596426236652862</v>
          </cell>
        </row>
        <row r="28">
          <cell r="B28">
            <v>0.97864652370490079</v>
          </cell>
        </row>
        <row r="31">
          <cell r="B31">
            <v>0.70313542361574388</v>
          </cell>
        </row>
        <row r="35">
          <cell r="B35">
            <v>0.81765295887662992</v>
          </cell>
        </row>
        <row r="36">
          <cell r="B36">
            <v>0.95133457635178253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0.85016196843338621</v>
          </cell>
        </row>
        <row r="28">
          <cell r="B28">
            <v>1.0056554231468391</v>
          </cell>
        </row>
        <row r="31">
          <cell r="B31">
            <v>0.98472222222222228</v>
          </cell>
        </row>
        <row r="35">
          <cell r="B35">
            <v>0.86175115207373276</v>
          </cell>
        </row>
        <row r="36">
          <cell r="B36">
            <v>0.96504477465868499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0.8783372761067928</v>
          </cell>
        </row>
        <row r="28">
          <cell r="B28">
            <v>0.93041209089920629</v>
          </cell>
        </row>
        <row r="31">
          <cell r="B31">
            <v>0.85605338417540511</v>
          </cell>
        </row>
        <row r="35">
          <cell r="B35">
            <v>0.77664783427495288</v>
          </cell>
        </row>
        <row r="36">
          <cell r="B36">
            <v>0.90484802114488416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1.0245441189179847</v>
          </cell>
        </row>
        <row r="28">
          <cell r="B28">
            <v>0.94215697742426019</v>
          </cell>
        </row>
        <row r="31">
          <cell r="B31">
            <v>0.93830570902394106</v>
          </cell>
        </row>
        <row r="35">
          <cell r="B35">
            <v>0.82775430614234646</v>
          </cell>
        </row>
        <row r="36">
          <cell r="B36">
            <v>0.95411576206689364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0.91432653483797499</v>
          </cell>
        </row>
        <row r="28">
          <cell r="B28">
            <v>0.99015660041648124</v>
          </cell>
        </row>
        <row r="31">
          <cell r="B31">
            <v>0.89774081150949758</v>
          </cell>
        </row>
        <row r="35">
          <cell r="B35">
            <v>0.71042594333765008</v>
          </cell>
        </row>
        <row r="36">
          <cell r="B36">
            <v>0.96244530711461018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0.8581821617535903</v>
          </cell>
        </row>
        <row r="28">
          <cell r="B28">
            <v>0.9985959833150575</v>
          </cell>
        </row>
        <row r="31">
          <cell r="B31">
            <v>0.94356087262491206</v>
          </cell>
        </row>
        <row r="35">
          <cell r="B35">
            <v>0.7883941970985493</v>
          </cell>
        </row>
        <row r="36">
          <cell r="B36">
            <v>0.96813441732551186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1.0929531757070006</v>
          </cell>
        </row>
        <row r="28">
          <cell r="B28">
            <v>1.0167332667332667</v>
          </cell>
        </row>
        <row r="31">
          <cell r="B31">
            <v>1.0664928292046936</v>
          </cell>
        </row>
        <row r="35">
          <cell r="B35">
            <v>1.1077826725403819</v>
          </cell>
        </row>
        <row r="36">
          <cell r="B36">
            <v>1.0520199225235196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0.76540124036835178</v>
          </cell>
        </row>
        <row r="28">
          <cell r="B28">
            <v>0.95959865748813211</v>
          </cell>
        </row>
        <row r="31">
          <cell r="B31">
            <v>0.88693467336683418</v>
          </cell>
        </row>
        <row r="35">
          <cell r="B35">
            <v>0.63628533395975262</v>
          </cell>
        </row>
        <row r="36">
          <cell r="B36">
            <v>0.90437815511702613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0.9297829232995658</v>
          </cell>
        </row>
        <row r="28">
          <cell r="B28">
            <v>0.99309335406851762</v>
          </cell>
        </row>
        <row r="31">
          <cell r="B31">
            <v>0.86592178770949724</v>
          </cell>
        </row>
        <row r="35">
          <cell r="B35">
            <v>0.84679958027282265</v>
          </cell>
        </row>
        <row r="36">
          <cell r="B36">
            <v>0.97321540799652628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0.98293113596233084</v>
          </cell>
        </row>
        <row r="28">
          <cell r="B28">
            <v>0.98734055509262231</v>
          </cell>
        </row>
        <row r="31">
          <cell r="B31">
            <v>0.90268456375838924</v>
          </cell>
        </row>
        <row r="35">
          <cell r="B35">
            <v>0.92228784581908607</v>
          </cell>
        </row>
        <row r="36">
          <cell r="B36">
            <v>0.98009097501483289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0.96270026288378552</v>
          </cell>
        </row>
        <row r="28">
          <cell r="B28">
            <v>0.97890498574400864</v>
          </cell>
        </row>
        <row r="31">
          <cell r="B31">
            <v>0.97094972067039109</v>
          </cell>
        </row>
        <row r="35">
          <cell r="B35">
            <v>0.78116699511609977</v>
          </cell>
        </row>
        <row r="36">
          <cell r="B36">
            <v>0.96014781446649389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0.90922946655376802</v>
          </cell>
        </row>
        <row r="28">
          <cell r="B28">
            <v>0.95534418022528156</v>
          </cell>
        </row>
        <row r="31">
          <cell r="B31">
            <v>1.2478632478632479</v>
          </cell>
        </row>
        <row r="35">
          <cell r="B35">
            <v>0.7918367346938775</v>
          </cell>
        </row>
        <row r="36">
          <cell r="B36">
            <v>0.94445648248465153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0.92182574219127744</v>
          </cell>
        </row>
        <row r="28">
          <cell r="B28">
            <v>1.0079853302854027</v>
          </cell>
        </row>
        <row r="31">
          <cell r="B31">
            <v>1.3965684687601165</v>
          </cell>
        </row>
        <row r="35">
          <cell r="B35">
            <v>0.94331589830920815</v>
          </cell>
        </row>
        <row r="36">
          <cell r="B36">
            <v>0.9894264947970618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0.96551814558422488</v>
          </cell>
        </row>
        <row r="28">
          <cell r="B28">
            <v>1.0171499055134297</v>
          </cell>
        </row>
        <row r="31">
          <cell r="B31">
            <v>1.048820852296235</v>
          </cell>
        </row>
        <row r="35">
          <cell r="B35">
            <v>0.92021466905187832</v>
          </cell>
        </row>
        <row r="36">
          <cell r="B36">
            <v>1.0017273717155708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0.85832211754149845</v>
          </cell>
        </row>
        <row r="28">
          <cell r="B28">
            <v>0.98330295461193995</v>
          </cell>
        </row>
        <row r="31">
          <cell r="B31">
            <v>0.88826815642458101</v>
          </cell>
        </row>
        <row r="35">
          <cell r="B35">
            <v>0.85433070866141736</v>
          </cell>
        </row>
        <row r="36">
          <cell r="B36">
            <v>0.953365138865224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0.85129942963510963</v>
          </cell>
        </row>
        <row r="28">
          <cell r="B28">
            <v>0.98339370016121919</v>
          </cell>
        </row>
        <row r="31">
          <cell r="B31">
            <v>1.0913770913770913</v>
          </cell>
        </row>
        <row r="35">
          <cell r="B35">
            <v>0.90822979456267683</v>
          </cell>
        </row>
        <row r="36">
          <cell r="B36">
            <v>0.95248159258249254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0.94549848942598191</v>
          </cell>
        </row>
        <row r="28">
          <cell r="B28">
            <v>0.99789568397527062</v>
          </cell>
        </row>
        <row r="31">
          <cell r="B31">
            <v>0.84407484407484412</v>
          </cell>
        </row>
        <row r="35">
          <cell r="B35">
            <v>0.80018832391713746</v>
          </cell>
        </row>
        <row r="36">
          <cell r="B36">
            <v>0.97168325657406029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0.96302502234137621</v>
          </cell>
        </row>
        <row r="28">
          <cell r="B28">
            <v>1.0003239840784968</v>
          </cell>
        </row>
        <row r="31">
          <cell r="B31">
            <v>0.99408866995073897</v>
          </cell>
        </row>
        <row r="35">
          <cell r="B35">
            <v>1.0120368185036583</v>
          </cell>
        </row>
        <row r="36">
          <cell r="B36">
            <v>0.98248128979409466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0.77511721366376418</v>
          </cell>
        </row>
        <row r="28">
          <cell r="B28">
            <v>0.8994705619697646</v>
          </cell>
        </row>
        <row r="31">
          <cell r="B31">
            <v>0.71230158730158732</v>
          </cell>
        </row>
        <row r="35">
          <cell r="B35">
            <v>0.81287246722288442</v>
          </cell>
        </row>
        <row r="36">
          <cell r="B36">
            <v>0.8599077940153097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0.89123975871072292</v>
          </cell>
        </row>
        <row r="28">
          <cell r="B28">
            <v>1.0035940667232968</v>
          </cell>
        </row>
        <row r="31">
          <cell r="B31">
            <v>0.96591586223334525</v>
          </cell>
        </row>
        <row r="35">
          <cell r="B35">
            <v>0.82305461954392289</v>
          </cell>
        </row>
        <row r="36">
          <cell r="B36">
            <v>0.97917305931329079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0.8282763072950291</v>
          </cell>
        </row>
        <row r="28">
          <cell r="B28">
            <v>0.960717749757517</v>
          </cell>
        </row>
        <row r="31">
          <cell r="B31">
            <v>0.69873417721518982</v>
          </cell>
        </row>
        <row r="35">
          <cell r="B35">
            <v>0.87441860465116283</v>
          </cell>
        </row>
        <row r="36">
          <cell r="B36">
            <v>0.91545476953413851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0.88340923037173402</v>
          </cell>
        </row>
        <row r="28">
          <cell r="B28">
            <v>1.0034157954663079</v>
          </cell>
        </row>
        <row r="31">
          <cell r="B31">
            <v>0.95051060487038497</v>
          </cell>
        </row>
        <row r="35">
          <cell r="B35">
            <v>0.66898194086128204</v>
          </cell>
        </row>
        <row r="36">
          <cell r="B36">
            <v>0.96984060711742026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0.91678832116788322</v>
          </cell>
        </row>
        <row r="28">
          <cell r="B28">
            <v>1.018370774721814</v>
          </cell>
        </row>
        <row r="31">
          <cell r="B31">
            <v>0.96850393700787396</v>
          </cell>
        </row>
        <row r="35">
          <cell r="B35">
            <v>1.3444976076555024</v>
          </cell>
        </row>
        <row r="36">
          <cell r="B36">
            <v>1.006415211006338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0.73964001674340729</v>
          </cell>
        </row>
        <row r="28">
          <cell r="B28">
            <v>0.95606857285087588</v>
          </cell>
        </row>
        <row r="31">
          <cell r="B31">
            <v>0.49896480331262938</v>
          </cell>
        </row>
        <row r="35">
          <cell r="B35">
            <v>0.65406976744186052</v>
          </cell>
        </row>
        <row r="36">
          <cell r="B36">
            <v>0.88781740756595995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0.89759517086943819</v>
          </cell>
        </row>
        <row r="28">
          <cell r="B28">
            <v>0.9850440708021907</v>
          </cell>
        </row>
        <row r="31">
          <cell r="B31">
            <v>1.1004622843612584</v>
          </cell>
        </row>
        <row r="35">
          <cell r="B35">
            <v>0.72136355016119857</v>
          </cell>
        </row>
        <row r="36">
          <cell r="B36">
            <v>0.95973484791757147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0.86126837375993348</v>
          </cell>
        </row>
        <row r="28">
          <cell r="B28">
            <v>0.95965739821251239</v>
          </cell>
        </row>
        <row r="31">
          <cell r="B31">
            <v>0.56995515695067267</v>
          </cell>
        </row>
        <row r="35">
          <cell r="B35">
            <v>0.70511627906976748</v>
          </cell>
        </row>
        <row r="36">
          <cell r="B36">
            <v>0.9127106784301795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0.99435796539552113</v>
          </cell>
        </row>
        <row r="28">
          <cell r="B28">
            <v>0.99606572332721965</v>
          </cell>
        </row>
        <row r="31">
          <cell r="B31">
            <v>0.36817936250675309</v>
          </cell>
        </row>
        <row r="35">
          <cell r="B35">
            <v>0.98079189252887111</v>
          </cell>
        </row>
        <row r="36">
          <cell r="B36">
            <v>0.96499251674899311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0.89642437468524427</v>
          </cell>
        </row>
        <row r="28">
          <cell r="B28">
            <v>1.0213206790536025</v>
          </cell>
        </row>
        <row r="31">
          <cell r="B31">
            <v>0.87947269303201503</v>
          </cell>
        </row>
        <row r="35">
          <cell r="B35">
            <v>0.6343519494204426</v>
          </cell>
        </row>
        <row r="36">
          <cell r="B36">
            <v>0.96834680119648198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1.0065733577784735</v>
          </cell>
        </row>
        <row r="28">
          <cell r="B28">
            <v>1.0059548486790035</v>
          </cell>
        </row>
        <row r="31">
          <cell r="B31">
            <v>0.98145285935085003</v>
          </cell>
        </row>
        <row r="35">
          <cell r="B35">
            <v>1.2658300057045067</v>
          </cell>
        </row>
        <row r="36">
          <cell r="B36">
            <v>1.0147964753587024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0.95042988437592646</v>
          </cell>
        </row>
        <row r="28">
          <cell r="B28">
            <v>1.0094989937824768</v>
          </cell>
        </row>
        <row r="31">
          <cell r="B31">
            <v>1.064118372379778</v>
          </cell>
        </row>
        <row r="35">
          <cell r="B35">
            <v>0.89498408849825728</v>
          </cell>
        </row>
        <row r="36">
          <cell r="B36">
            <v>0.99463435151818291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0.96212437395659434</v>
          </cell>
        </row>
        <row r="28">
          <cell r="B28">
            <v>0.99331745909824098</v>
          </cell>
        </row>
        <row r="31">
          <cell r="B31">
            <v>0.80875576036866359</v>
          </cell>
        </row>
        <row r="35">
          <cell r="B35">
            <v>0.89000805801772764</v>
          </cell>
        </row>
        <row r="36">
          <cell r="B36">
            <v>0.97133534136546185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0.98159320993966659</v>
          </cell>
        </row>
        <row r="28">
          <cell r="B28">
            <v>0.9693352487919551</v>
          </cell>
        </row>
        <row r="31">
          <cell r="B31">
            <v>1.160908193484699</v>
          </cell>
        </row>
        <row r="35">
          <cell r="B35">
            <v>1.0060435132957293</v>
          </cell>
        </row>
        <row r="36">
          <cell r="B36">
            <v>0.97719117903760744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0.93969083387763985</v>
          </cell>
        </row>
        <row r="28">
          <cell r="B28">
            <v>0.98547822712404975</v>
          </cell>
        </row>
        <row r="31">
          <cell r="B31">
            <v>0.85816186556927299</v>
          </cell>
        </row>
        <row r="35">
          <cell r="B35">
            <v>1.0530489166852803</v>
          </cell>
        </row>
        <row r="36">
          <cell r="B36">
            <v>0.97863576029618604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0.93630000000000002</v>
          </cell>
        </row>
        <row r="28">
          <cell r="B28">
            <v>1.0057649844635168</v>
          </cell>
        </row>
        <row r="31">
          <cell r="B31">
            <v>0.94722598105548039</v>
          </cell>
        </row>
        <row r="35">
          <cell r="B35">
            <v>1.053370786516854</v>
          </cell>
        </row>
        <row r="36">
          <cell r="B36">
            <v>0.99532467532467528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0.97379603399433423</v>
          </cell>
        </row>
        <row r="28">
          <cell r="B28">
            <v>1.0094531150869179</v>
          </cell>
        </row>
        <row r="31">
          <cell r="B31">
            <v>0.63479923518164438</v>
          </cell>
        </row>
        <row r="35">
          <cell r="B35">
            <v>0.98907103825136611</v>
          </cell>
        </row>
        <row r="36">
          <cell r="B36">
            <v>0.99248336285727967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0.94547140290896448</v>
          </cell>
        </row>
        <row r="28">
          <cell r="B28">
            <v>0.99254808029023267</v>
          </cell>
        </row>
        <row r="31">
          <cell r="B31">
            <v>0.95</v>
          </cell>
        </row>
        <row r="35">
          <cell r="B35">
            <v>0.87298387096774188</v>
          </cell>
        </row>
        <row r="36">
          <cell r="B36">
            <v>0.97988729109988337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0.94417953069856408</v>
          </cell>
        </row>
        <row r="28">
          <cell r="B28">
            <v>1.000096618357488</v>
          </cell>
        </row>
        <row r="31">
          <cell r="B31">
            <v>1.0194690265486726</v>
          </cell>
        </row>
        <row r="35">
          <cell r="B35">
            <v>0.91461305663640291</v>
          </cell>
        </row>
        <row r="36">
          <cell r="B36">
            <v>0.9878252554230208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0.98014263263303014</v>
          </cell>
        </row>
        <row r="28">
          <cell r="B28">
            <v>1.0103421525094385</v>
          </cell>
        </row>
        <row r="31">
          <cell r="B31">
            <v>0.87769359441109907</v>
          </cell>
        </row>
        <row r="35">
          <cell r="B35">
            <v>1.0112194277803415</v>
          </cell>
        </row>
        <row r="36">
          <cell r="B36">
            <v>1.0029459690344684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0.98804476852636935</v>
          </cell>
        </row>
        <row r="28">
          <cell r="B28">
            <v>0.98815850137099315</v>
          </cell>
        </row>
        <row r="31">
          <cell r="B31">
            <v>0.99015219337511196</v>
          </cell>
        </row>
        <row r="35">
          <cell r="B35">
            <v>0.98983543078412395</v>
          </cell>
        </row>
        <row r="36">
          <cell r="B36">
            <v>0.988235922260981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1.0165283075312244</v>
          </cell>
        </row>
        <row r="28">
          <cell r="B28">
            <v>0.99103956260915782</v>
          </cell>
        </row>
        <row r="31">
          <cell r="B31">
            <v>1.074698795180723</v>
          </cell>
        </row>
        <row r="35">
          <cell r="B35">
            <v>0.90806669671022988</v>
          </cell>
        </row>
        <row r="36">
          <cell r="B36">
            <v>0.99868194261380916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0.98355663824604145</v>
          </cell>
        </row>
        <row r="28">
          <cell r="B28">
            <v>0.98115426454590893</v>
          </cell>
        </row>
        <row r="31">
          <cell r="B31">
            <v>1.2490706319702602</v>
          </cell>
        </row>
        <row r="35">
          <cell r="B35">
            <v>0.86494051784464665</v>
          </cell>
        </row>
        <row r="36">
          <cell r="B36">
            <v>0.98275525476670789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0.96619068785420603</v>
          </cell>
        </row>
        <row r="28">
          <cell r="B28">
            <v>1.0160201416281935</v>
          </cell>
        </row>
        <row r="31">
          <cell r="B31">
            <v>0.77842655193607868</v>
          </cell>
        </row>
        <row r="35">
          <cell r="B35">
            <v>0.93488455988455987</v>
          </cell>
        </row>
        <row r="36">
          <cell r="B36">
            <v>0.99860783746157766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0.90518296073851634</v>
          </cell>
        </row>
        <row r="28">
          <cell r="B28">
            <v>1.0202591125730012</v>
          </cell>
        </row>
        <row r="31">
          <cell r="B31">
            <v>0.85346676197283777</v>
          </cell>
        </row>
        <row r="35">
          <cell r="B35">
            <v>0.9206817436905933</v>
          </cell>
        </row>
        <row r="36">
          <cell r="B36">
            <v>0.99336545704056045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0.93126101586284249</v>
          </cell>
        </row>
        <row r="28">
          <cell r="B28">
            <v>0.99107704163371257</v>
          </cell>
        </row>
        <row r="31">
          <cell r="B31">
            <v>0.84603658536585369</v>
          </cell>
        </row>
        <row r="35">
          <cell r="B35">
            <v>0.87368421052631584</v>
          </cell>
        </row>
        <row r="36">
          <cell r="B36">
            <v>0.97393749324105117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0.97316377788840114</v>
          </cell>
        </row>
        <row r="28">
          <cell r="B28">
            <v>1.0002223941210597</v>
          </cell>
        </row>
        <row r="31">
          <cell r="B31">
            <v>1.2581818181818183</v>
          </cell>
        </row>
        <row r="35">
          <cell r="B35">
            <v>0.83864598025387871</v>
          </cell>
        </row>
        <row r="36">
          <cell r="B36">
            <v>0.99726695284168765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0.96293446902046986</v>
          </cell>
        </row>
        <row r="28">
          <cell r="B28">
            <v>1.0073489060151273</v>
          </cell>
        </row>
        <row r="31">
          <cell r="B31">
            <v>0.85710594315245481</v>
          </cell>
        </row>
        <row r="35">
          <cell r="B35">
            <v>0.88881805431595051</v>
          </cell>
        </row>
        <row r="36">
          <cell r="B36">
            <v>0.98935809158944088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0.91852337265181305</v>
          </cell>
        </row>
        <row r="28">
          <cell r="B28">
            <v>0.95575629090238734</v>
          </cell>
        </row>
        <row r="31">
          <cell r="B31">
            <v>0.91346153846153844</v>
          </cell>
        </row>
        <row r="35">
          <cell r="B35">
            <v>1.1487730061349692</v>
          </cell>
        </row>
        <row r="36">
          <cell r="B36">
            <v>0.95317944250871078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0.94753727118324216</v>
          </cell>
        </row>
        <row r="28">
          <cell r="B28">
            <v>1.0094011900530824</v>
          </cell>
        </row>
        <row r="31">
          <cell r="B31">
            <v>0.81791221826809013</v>
          </cell>
        </row>
        <row r="35">
          <cell r="B35">
            <v>0.92893747864707887</v>
          </cell>
        </row>
        <row r="36">
          <cell r="B36">
            <v>0.99286042890508885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1.0206416799401878</v>
          </cell>
        </row>
        <row r="28">
          <cell r="B28">
            <v>1.0051930292482256</v>
          </cell>
        </row>
        <row r="31">
          <cell r="B31">
            <v>0.96356050069541033</v>
          </cell>
        </row>
        <row r="35">
          <cell r="B35">
            <v>0.9359409594095941</v>
          </cell>
        </row>
        <row r="36">
          <cell r="B36">
            <v>1.0045345963567338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0.95082242363209135</v>
          </cell>
        </row>
        <row r="28">
          <cell r="B28">
            <v>0.96229448888531577</v>
          </cell>
        </row>
        <row r="31">
          <cell r="B31">
            <v>0.86472602739726023</v>
          </cell>
        </row>
        <row r="35">
          <cell r="B35">
            <v>1.0590277777777777</v>
          </cell>
        </row>
        <row r="36">
          <cell r="B36">
            <v>0.96271949846313032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1.0145205320322936</v>
          </cell>
        </row>
        <row r="28">
          <cell r="B28">
            <v>1.0108093126385809</v>
          </cell>
        </row>
        <row r="31">
          <cell r="B31">
            <v>1.0375335120643432</v>
          </cell>
        </row>
        <row r="35">
          <cell r="B35">
            <v>1.1628849270664505</v>
          </cell>
        </row>
        <row r="36">
          <cell r="B36">
            <v>1.0287281491536693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0.9915408233598596</v>
          </cell>
        </row>
        <row r="28">
          <cell r="B28">
            <v>0.99366320374138728</v>
          </cell>
        </row>
        <row r="31">
          <cell r="B31">
            <v>0.79018492176386912</v>
          </cell>
        </row>
        <row r="35">
          <cell r="B35">
            <v>0.96669352672575881</v>
          </cell>
        </row>
        <row r="36">
          <cell r="B36">
            <v>0.98821164570094666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0.94557922381091331</v>
          </cell>
        </row>
        <row r="28">
          <cell r="B28">
            <v>0.98969342874023503</v>
          </cell>
        </row>
        <row r="31">
          <cell r="B31">
            <v>0.8377440347071583</v>
          </cell>
        </row>
        <row r="35">
          <cell r="B35">
            <v>0.84299516908212557</v>
          </cell>
        </row>
        <row r="36">
          <cell r="B36">
            <v>0.97308287904921376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0.94112166946152409</v>
          </cell>
        </row>
        <row r="28">
          <cell r="B28">
            <v>0.9886960032297134</v>
          </cell>
        </row>
        <row r="31">
          <cell r="B31">
            <v>1.0945674044265594</v>
          </cell>
        </row>
        <row r="35">
          <cell r="B35">
            <v>0.73261205564142196</v>
          </cell>
        </row>
        <row r="36">
          <cell r="B36">
            <v>0.97324947589098532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0.99430633068380403</v>
          </cell>
        </row>
        <row r="28">
          <cell r="B28">
            <v>1.0096111839231106</v>
          </cell>
        </row>
        <row r="31">
          <cell r="B31">
            <v>1.0740354535974974</v>
          </cell>
        </row>
        <row r="35">
          <cell r="B35">
            <v>1.05901774659513</v>
          </cell>
        </row>
        <row r="36">
          <cell r="B36">
            <v>1.0092653871608206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0.96589399975854162</v>
          </cell>
        </row>
        <row r="28">
          <cell r="B28">
            <v>0.96578865479306619</v>
          </cell>
        </row>
        <row r="31">
          <cell r="B31">
            <v>0.76003086419753085</v>
          </cell>
        </row>
        <row r="35">
          <cell r="B35">
            <v>0.94837872892347597</v>
          </cell>
        </row>
        <row r="36">
          <cell r="B36">
            <v>0.96143972337192851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0.86166253101736978</v>
          </cell>
        </row>
        <row r="28">
          <cell r="B28">
            <v>0.96096708418293042</v>
          </cell>
        </row>
        <row r="31">
          <cell r="B31">
            <v>1.0314285714285714</v>
          </cell>
        </row>
        <row r="35">
          <cell r="B35">
            <v>1.3243902439024391</v>
          </cell>
        </row>
        <row r="36">
          <cell r="B36">
            <v>0.9460533571659473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0.9664380714879468</v>
          </cell>
        </row>
        <row r="28">
          <cell r="B28">
            <v>1.0228792094008221</v>
          </cell>
        </row>
        <row r="31">
          <cell r="B31">
            <v>0.78748758689175768</v>
          </cell>
        </row>
        <row r="35">
          <cell r="B35">
            <v>0.7206309672063097</v>
          </cell>
        </row>
        <row r="36">
          <cell r="B36">
            <v>0.98224820192333595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0.973629292354392</v>
          </cell>
        </row>
        <row r="28">
          <cell r="B28">
            <v>0.96081943356095378</v>
          </cell>
        </row>
        <row r="31">
          <cell r="B31">
            <v>0.91469194312796209</v>
          </cell>
        </row>
        <row r="35">
          <cell r="B35">
            <v>1.1311120726958026</v>
          </cell>
        </row>
        <row r="36">
          <cell r="B36">
            <v>0.97260913356425183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0.95532758803717388</v>
          </cell>
        </row>
        <row r="28">
          <cell r="B28">
            <v>0.99083492184521538</v>
          </cell>
        </row>
        <row r="31">
          <cell r="B31">
            <v>0.92787135395269671</v>
          </cell>
        </row>
        <row r="35">
          <cell r="B35">
            <v>0.83061347839226352</v>
          </cell>
        </row>
        <row r="36">
          <cell r="B36">
            <v>0.97828890612681896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0.94265155183064264</v>
          </cell>
        </row>
        <row r="28">
          <cell r="B28">
            <v>1.0141470496143008</v>
          </cell>
        </row>
        <row r="31">
          <cell r="B31">
            <v>1.0245003223726628</v>
          </cell>
        </row>
        <row r="35">
          <cell r="B35">
            <v>1.0106198867212084</v>
          </cell>
        </row>
        <row r="36">
          <cell r="B36">
            <v>1.0042359976099859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0.94254516522225851</v>
          </cell>
        </row>
        <row r="28">
          <cell r="B28">
            <v>1.0377104210754566</v>
          </cell>
        </row>
        <row r="31">
          <cell r="B31">
            <v>0.95329181494661919</v>
          </cell>
        </row>
        <row r="35">
          <cell r="B35">
            <v>1.0807421324565523</v>
          </cell>
        </row>
        <row r="36">
          <cell r="B36">
            <v>0.9921774592751037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0.94316061432467346</v>
          </cell>
        </row>
        <row r="28">
          <cell r="B28">
            <v>1.0100834932214469</v>
          </cell>
        </row>
        <row r="31">
          <cell r="B31">
            <v>0.87827740796087483</v>
          </cell>
        </row>
        <row r="35">
          <cell r="B35">
            <v>0.96303501945525294</v>
          </cell>
        </row>
        <row r="36">
          <cell r="B36">
            <v>0.99327001290959638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1.0036814159292036</v>
          </cell>
        </row>
        <row r="28">
          <cell r="B28">
            <v>0.99038400708546848</v>
          </cell>
        </row>
        <row r="31">
          <cell r="B31">
            <v>0.89239332096474955</v>
          </cell>
        </row>
        <row r="35">
          <cell r="B35">
            <v>1.0107482430756511</v>
          </cell>
        </row>
        <row r="36">
          <cell r="B36">
            <v>0.99135018245708884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0.94138039710053578</v>
          </cell>
        </row>
        <row r="28">
          <cell r="B28">
            <v>0.96113998323554062</v>
          </cell>
        </row>
        <row r="31">
          <cell r="B31">
            <v>0.94972677595628419</v>
          </cell>
        </row>
        <row r="35">
          <cell r="B35">
            <v>1.0127659574468084</v>
          </cell>
        </row>
        <row r="36">
          <cell r="B36">
            <v>0.95962095042479689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0.98440703708391342</v>
          </cell>
        </row>
        <row r="28">
          <cell r="B28">
            <v>1.013375575466561</v>
          </cell>
        </row>
        <row r="31">
          <cell r="B31">
            <v>0.92189533975527205</v>
          </cell>
        </row>
        <row r="35">
          <cell r="B35">
            <v>1.0722394220846234</v>
          </cell>
        </row>
        <row r="36">
          <cell r="B36">
            <v>1.0073681682149558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0.98798856053384176</v>
          </cell>
        </row>
        <row r="28">
          <cell r="B28">
            <v>0.96844919786096262</v>
          </cell>
        </row>
        <row r="31">
          <cell r="B31">
            <v>0.82318271119842834</v>
          </cell>
        </row>
        <row r="35">
          <cell r="B35">
            <v>0.94043887147335425</v>
          </cell>
        </row>
        <row r="36">
          <cell r="B36">
            <v>0.96852300242130751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0.98125331061007348</v>
          </cell>
        </row>
        <row r="28">
          <cell r="B28">
            <v>1.0011423601420162</v>
          </cell>
        </row>
        <row r="31">
          <cell r="B31">
            <v>1.3753157704799712</v>
          </cell>
        </row>
        <row r="35">
          <cell r="B35">
            <v>1.0149328859060402</v>
          </cell>
        </row>
        <row r="36">
          <cell r="B36">
            <v>1.0027335410196108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0.97335845774749963</v>
          </cell>
        </row>
        <row r="28">
          <cell r="B28">
            <v>1.0110205625472801</v>
          </cell>
        </row>
        <row r="31">
          <cell r="B31">
            <v>0.93538974572738642</v>
          </cell>
        </row>
        <row r="35">
          <cell r="B35">
            <v>1.0288933834151979</v>
          </cell>
        </row>
        <row r="36">
          <cell r="B36">
            <v>1.0025477070636428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0.95219532211735736</v>
          </cell>
        </row>
        <row r="28">
          <cell r="B28">
            <v>0.98516312214675428</v>
          </cell>
        </row>
        <row r="31">
          <cell r="B31">
            <v>0.9958932238193019</v>
          </cell>
        </row>
        <row r="35">
          <cell r="B35">
            <v>0.90572585309427411</v>
          </cell>
        </row>
        <row r="36">
          <cell r="B36">
            <v>0.97589664082687344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0.9976299305908245</v>
          </cell>
        </row>
        <row r="28">
          <cell r="B28">
            <v>0.97723967422920299</v>
          </cell>
        </row>
        <row r="31">
          <cell r="B31">
            <v>0.625</v>
          </cell>
        </row>
        <row r="35">
          <cell r="B35">
            <v>0.77898039215686277</v>
          </cell>
        </row>
        <row r="36">
          <cell r="B36">
            <v>0.96898909730041471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0.94888645491055135</v>
          </cell>
        </row>
        <row r="28">
          <cell r="B28">
            <v>1.0057314369315697</v>
          </cell>
        </row>
        <row r="31">
          <cell r="B31">
            <v>0.7902702702702703</v>
          </cell>
        </row>
        <row r="35">
          <cell r="B35">
            <v>0.95663206459054206</v>
          </cell>
        </row>
        <row r="36">
          <cell r="B36">
            <v>0.9860590266742939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1.0266871901487287</v>
          </cell>
        </row>
        <row r="28">
          <cell r="B28">
            <v>1.0135455864288454</v>
          </cell>
        </row>
        <row r="31">
          <cell r="B31">
            <v>1.3685991427926911</v>
          </cell>
        </row>
        <row r="35">
          <cell r="B35">
            <v>0.94634665248321259</v>
          </cell>
        </row>
        <row r="36">
          <cell r="B36">
            <v>1.019817454989931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0.93638463153474705</v>
          </cell>
        </row>
        <row r="28">
          <cell r="B28">
            <v>0.95365418894830656</v>
          </cell>
        </row>
        <row r="31">
          <cell r="B31">
            <v>0.89749999999999996</v>
          </cell>
        </row>
        <row r="35">
          <cell r="B35">
            <v>0.88378766140602583</v>
          </cell>
        </row>
        <row r="36">
          <cell r="B36">
            <v>0.9463512162612463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0.94441654689962073</v>
          </cell>
        </row>
        <row r="28">
          <cell r="B28">
            <v>0.99925134741603827</v>
          </cell>
        </row>
        <row r="31">
          <cell r="B31">
            <v>1.0963500159387951</v>
          </cell>
        </row>
        <row r="35">
          <cell r="B35">
            <v>1.0390121298218773</v>
          </cell>
        </row>
        <row r="36">
          <cell r="B36">
            <v>0.9952366836169787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1.078284547311096</v>
          </cell>
        </row>
        <row r="28">
          <cell r="B28">
            <v>1.0060951886914797</v>
          </cell>
        </row>
        <row r="31">
          <cell r="B31">
            <v>0.82846715328467158</v>
          </cell>
        </row>
        <row r="35">
          <cell r="B35">
            <v>1.0895196506550218</v>
          </cell>
        </row>
        <row r="36">
          <cell r="B36">
            <v>1.0238116158509798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0.95443421512644211</v>
          </cell>
        </row>
        <row r="28">
          <cell r="B28">
            <v>0.99386471569759982</v>
          </cell>
        </row>
        <row r="31">
          <cell r="B31">
            <v>0.91581868640148012</v>
          </cell>
        </row>
        <row r="35">
          <cell r="B35">
            <v>0.90622286541244568</v>
          </cell>
        </row>
        <row r="36">
          <cell r="B36">
            <v>0.98433507312564561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1.1055581503970107</v>
          </cell>
        </row>
        <row r="28">
          <cell r="B28">
            <v>0.95609220636663006</v>
          </cell>
        </row>
        <row r="31">
          <cell r="B31">
            <v>0.93333333333333335</v>
          </cell>
        </row>
        <row r="35">
          <cell r="B35">
            <v>0.6324110671936759</v>
          </cell>
        </row>
        <row r="36">
          <cell r="B36">
            <v>0.9686147186147186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0.91263494602159134</v>
          </cell>
        </row>
        <row r="28">
          <cell r="B28">
            <v>0.99738405834762578</v>
          </cell>
        </row>
        <row r="31">
          <cell r="B31">
            <v>0.68262548262548262</v>
          </cell>
        </row>
        <row r="35">
          <cell r="B35">
            <v>0.99307159353348728</v>
          </cell>
        </row>
        <row r="36">
          <cell r="B36">
            <v>0.97521951987819766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0.98645128887954492</v>
          </cell>
        </row>
        <row r="28">
          <cell r="B28">
            <v>0.97516461738964899</v>
          </cell>
        </row>
        <row r="31">
          <cell r="B31">
            <v>0.80978017048003592</v>
          </cell>
        </row>
        <row r="35">
          <cell r="B35">
            <v>0.89728172366278347</v>
          </cell>
        </row>
        <row r="36">
          <cell r="B36">
            <v>0.97179746923037003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0.94653040483315454</v>
          </cell>
        </row>
        <row r="28">
          <cell r="B28">
            <v>0.99386826167099274</v>
          </cell>
        </row>
        <row r="31">
          <cell r="B31">
            <v>0.98709677419354835</v>
          </cell>
        </row>
        <row r="35">
          <cell r="B35">
            <v>0.85233441910966345</v>
          </cell>
        </row>
        <row r="36">
          <cell r="B36">
            <v>0.97586419834189542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0.97457398700248565</v>
          </cell>
        </row>
        <row r="28">
          <cell r="B28">
            <v>1.0055145559814074</v>
          </cell>
        </row>
        <row r="31">
          <cell r="B31">
            <v>0.85821455363840959</v>
          </cell>
        </row>
        <row r="35">
          <cell r="B35">
            <v>1.0689283791060851</v>
          </cell>
        </row>
        <row r="36">
          <cell r="B36">
            <v>0.99877109097458139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0.93087557603686633</v>
          </cell>
        </row>
        <row r="28">
          <cell r="B28">
            <v>0.96263395375070504</v>
          </cell>
        </row>
        <row r="31">
          <cell r="B31">
            <v>1.5190615835777126</v>
          </cell>
        </row>
        <row r="35">
          <cell r="B35">
            <v>0.79716981132075471</v>
          </cell>
        </row>
        <row r="36">
          <cell r="B36">
            <v>0.95645967166309775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0.95052667594005202</v>
          </cell>
        </row>
        <row r="28">
          <cell r="B28">
            <v>0.9872160057023307</v>
          </cell>
        </row>
        <row r="31">
          <cell r="B31">
            <v>0.97807308970099671</v>
          </cell>
        </row>
        <row r="35">
          <cell r="B35">
            <v>0.97952536063285245</v>
          </cell>
        </row>
        <row r="36">
          <cell r="B36">
            <v>0.96989736021627759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1.0049287184099955</v>
          </cell>
        </row>
        <row r="28">
          <cell r="B28">
            <v>0.98823274617383772</v>
          </cell>
        </row>
        <row r="31">
          <cell r="B31">
            <v>0.9530324688584848</v>
          </cell>
        </row>
        <row r="35">
          <cell r="B35">
            <v>1.1602743997505456</v>
          </cell>
        </row>
        <row r="36">
          <cell r="B36">
            <v>1.0029640934597874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8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0.97720413308241305</v>
          </cell>
        </row>
        <row r="28">
          <cell r="B28">
            <v>0.99786795764770009</v>
          </cell>
        </row>
        <row r="31">
          <cell r="B31">
            <v>1.1410670978172999</v>
          </cell>
        </row>
        <row r="35">
          <cell r="B35">
            <v>0.95764167143674872</v>
          </cell>
        </row>
        <row r="36">
          <cell r="B36">
            <v>0.99513822747617353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0.95887940363111701</v>
          </cell>
        </row>
        <row r="28">
          <cell r="B28">
            <v>1.0104112666321063</v>
          </cell>
        </row>
        <row r="31">
          <cell r="B31">
            <v>0.86836363636363634</v>
          </cell>
        </row>
        <row r="35">
          <cell r="B35">
            <v>1.0488841657810839</v>
          </cell>
        </row>
        <row r="36">
          <cell r="B36">
            <v>0.99452796497897589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0.99924048229374351</v>
          </cell>
        </row>
        <row r="28">
          <cell r="B28">
            <v>0.99185623704059867</v>
          </cell>
        </row>
        <row r="31">
          <cell r="B31">
            <v>1.0968109339407746</v>
          </cell>
        </row>
        <row r="35">
          <cell r="B35">
            <v>0.88655462184873945</v>
          </cell>
        </row>
        <row r="36">
          <cell r="B36">
            <v>0.9896207669217435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0.900448337343558</v>
          </cell>
        </row>
        <row r="28">
          <cell r="B28">
            <v>0.99176146734679782</v>
          </cell>
        </row>
        <row r="31">
          <cell r="B31">
            <v>0.68664609960334955</v>
          </cell>
        </row>
        <row r="35">
          <cell r="B35">
            <v>1.0150414937759336</v>
          </cell>
        </row>
        <row r="36">
          <cell r="B36">
            <v>0.97464668116998132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0.93054103142715616</v>
          </cell>
        </row>
        <row r="28">
          <cell r="B28">
            <v>1.0169847215957009</v>
          </cell>
        </row>
        <row r="31">
          <cell r="B31">
            <v>0.84853249475890991</v>
          </cell>
        </row>
        <row r="35">
          <cell r="B35">
            <v>1.012314581584103</v>
          </cell>
        </row>
        <row r="36">
          <cell r="B36">
            <v>1.0017910590333057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0.92689173457508733</v>
          </cell>
        </row>
        <row r="28">
          <cell r="B28">
            <v>0.9740912353977681</v>
          </cell>
        </row>
        <row r="31">
          <cell r="B31">
            <v>0.86243386243386244</v>
          </cell>
        </row>
        <row r="35">
          <cell r="B35">
            <v>0.96216216216216222</v>
          </cell>
        </row>
        <row r="36">
          <cell r="B36">
            <v>0.96184817833644309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0.94024645431295051</v>
          </cell>
        </row>
        <row r="28">
          <cell r="B28">
            <v>0.99861397901168214</v>
          </cell>
        </row>
        <row r="31">
          <cell r="B31">
            <v>0.85308848080133559</v>
          </cell>
        </row>
        <row r="35">
          <cell r="B35">
            <v>0.8307101727447217</v>
          </cell>
        </row>
        <row r="36">
          <cell r="B36">
            <v>0.98016509229569282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0.89854141576341495</v>
          </cell>
        </row>
        <row r="28">
          <cell r="B28">
            <v>0.95705832211199926</v>
          </cell>
        </row>
        <row r="31">
          <cell r="B31">
            <v>0.79954827780914739</v>
          </cell>
        </row>
        <row r="35">
          <cell r="B35">
            <v>0.92018108172504165</v>
          </cell>
        </row>
        <row r="36">
          <cell r="B36">
            <v>0.94429095586837986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0.94296292256700176</v>
          </cell>
        </row>
        <row r="28">
          <cell r="B28">
            <v>0.99087365303915342</v>
          </cell>
        </row>
        <row r="31">
          <cell r="B31">
            <v>0.78716577540106947</v>
          </cell>
        </row>
        <row r="35">
          <cell r="B35">
            <v>0.97250226551880381</v>
          </cell>
        </row>
        <row r="36">
          <cell r="B36">
            <v>0.97869489052430325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0.94694819020581977</v>
          </cell>
        </row>
        <row r="28">
          <cell r="B28">
            <v>0.96370436706526896</v>
          </cell>
        </row>
        <row r="31">
          <cell r="B31">
            <v>0.73313492063492058</v>
          </cell>
        </row>
        <row r="35">
          <cell r="B35">
            <v>1.0506224066390042</v>
          </cell>
        </row>
        <row r="36">
          <cell r="B36">
            <v>0.95968170768763295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1.0432917785705695</v>
          </cell>
        </row>
        <row r="28">
          <cell r="B28">
            <v>1.0003627130939428</v>
          </cell>
        </row>
        <row r="31">
          <cell r="B31">
            <v>1.2661290322580645</v>
          </cell>
        </row>
        <row r="35">
          <cell r="B35">
            <v>0.97078292627254048</v>
          </cell>
        </row>
        <row r="36">
          <cell r="B36">
            <v>1.021283255086072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8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0.93158783783783783</v>
          </cell>
        </row>
        <row r="28">
          <cell r="B28">
            <v>0.99494742990654206</v>
          </cell>
        </row>
        <row r="31">
          <cell r="B31">
            <v>0.99408983451536648</v>
          </cell>
        </row>
        <row r="35">
          <cell r="B35">
            <v>0.94022834116856946</v>
          </cell>
        </row>
        <row r="36">
          <cell r="B36">
            <v>0.98012899863183267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0.95788185948968896</v>
          </cell>
        </row>
        <row r="28">
          <cell r="B28">
            <v>1.0082013957070544</v>
          </cell>
        </row>
        <row r="31">
          <cell r="B31">
            <v>0.77957359009628613</v>
          </cell>
        </row>
        <row r="35">
          <cell r="B35">
            <v>0.96261150123363071</v>
          </cell>
        </row>
        <row r="36">
          <cell r="B36">
            <v>0.99290056145886507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0.93604396977078264</v>
          </cell>
        </row>
        <row r="28">
          <cell r="B28">
            <v>0.97551253622104017</v>
          </cell>
        </row>
        <row r="31">
          <cell r="B31">
            <v>0.73079968329374501</v>
          </cell>
        </row>
        <row r="35">
          <cell r="B35">
            <v>0.96269633507853403</v>
          </cell>
        </row>
        <row r="36">
          <cell r="B36">
            <v>0.96506708441233202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0.92521694742215421</v>
          </cell>
        </row>
        <row r="28">
          <cell r="B28">
            <v>0.96058156418004159</v>
          </cell>
        </row>
        <row r="31">
          <cell r="B31">
            <v>1.0067001675041876</v>
          </cell>
        </row>
        <row r="35">
          <cell r="B35">
            <v>0.65669074647402825</v>
          </cell>
        </row>
        <row r="36">
          <cell r="B36">
            <v>0.94138076830152206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0.97727703984819736</v>
          </cell>
        </row>
        <row r="28">
          <cell r="B28">
            <v>1.0065950920245399</v>
          </cell>
        </row>
        <row r="31">
          <cell r="B31">
            <v>0.80848484848484847</v>
          </cell>
        </row>
        <row r="35">
          <cell r="B35">
            <v>0.77154853050135841</v>
          </cell>
        </row>
        <row r="36">
          <cell r="B36">
            <v>0.98898034524554579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0.94312008312305184</v>
          </cell>
        </row>
        <row r="28">
          <cell r="B28">
            <v>0.9909186888599284</v>
          </cell>
        </row>
        <row r="31">
          <cell r="B31">
            <v>0.82547699214365877</v>
          </cell>
        </row>
        <row r="35">
          <cell r="B35">
            <v>0.81152430511486229</v>
          </cell>
        </row>
        <row r="36">
          <cell r="B36">
            <v>0.96920043758941132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0.9073522106308991</v>
          </cell>
        </row>
        <row r="28">
          <cell r="B28">
            <v>0.97582001682085784</v>
          </cell>
        </row>
        <row r="31">
          <cell r="B31">
            <v>0.94545454545454544</v>
          </cell>
        </row>
        <row r="35">
          <cell r="B35">
            <v>0.72073170731707314</v>
          </cell>
        </row>
        <row r="36">
          <cell r="B36">
            <v>0.95526046986721147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0.9517183321778746</v>
          </cell>
        </row>
        <row r="28">
          <cell r="B28">
            <v>0.99579731164989782</v>
          </cell>
        </row>
        <row r="31">
          <cell r="B31">
            <v>0.90745856353591159</v>
          </cell>
        </row>
        <row r="35">
          <cell r="B35">
            <v>0.90962099125364426</v>
          </cell>
        </row>
        <row r="36">
          <cell r="B36">
            <v>0.98459119777755943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0.96571903574397344</v>
          </cell>
        </row>
        <row r="28">
          <cell r="B28">
            <v>1.0117154149303691</v>
          </cell>
        </row>
        <row r="31">
          <cell r="B31">
            <v>0.72344437460716526</v>
          </cell>
        </row>
        <row r="35">
          <cell r="B35">
            <v>0.99213299688288559</v>
          </cell>
        </row>
        <row r="36">
          <cell r="B36">
            <v>0.99848017358981167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0.9607136078952363</v>
          </cell>
        </row>
        <row r="28">
          <cell r="B28">
            <v>0.97957594115101687</v>
          </cell>
        </row>
        <row r="31">
          <cell r="B31">
            <v>0.96735395189003437</v>
          </cell>
        </row>
        <row r="35">
          <cell r="B35">
            <v>0.93893630991464216</v>
          </cell>
        </row>
        <row r="36">
          <cell r="B36">
            <v>0.97405196168481822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1.0405078597339783</v>
          </cell>
        </row>
        <row r="28">
          <cell r="B28">
            <v>1.0456122954883491</v>
          </cell>
        </row>
        <row r="31">
          <cell r="B31">
            <v>1.1063174114021572</v>
          </cell>
        </row>
        <row r="35">
          <cell r="B35">
            <v>1.0274656679151062</v>
          </cell>
        </row>
        <row r="36">
          <cell r="B36">
            <v>1.0420771263815474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8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0.9593349358974359</v>
          </cell>
        </row>
        <row r="28">
          <cell r="B28">
            <v>0.97210798872896198</v>
          </cell>
        </row>
        <row r="31">
          <cell r="B31">
            <v>0.97272727272727277</v>
          </cell>
        </row>
        <row r="35">
          <cell r="B35">
            <v>0.99021019291678669</v>
          </cell>
        </row>
        <row r="36">
          <cell r="B36">
            <v>0.97033563192873895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0.95042862467387257</v>
          </cell>
        </row>
        <row r="28">
          <cell r="B28">
            <v>0.97541989760785608</v>
          </cell>
        </row>
        <row r="31">
          <cell r="B31">
            <v>0.62255097960815675</v>
          </cell>
        </row>
        <row r="35">
          <cell r="B35">
            <v>0.98262032085561501</v>
          </cell>
        </row>
        <row r="36">
          <cell r="B36">
            <v>0.96127680610155131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0.89718755820450735</v>
          </cell>
        </row>
        <row r="28">
          <cell r="B28">
            <v>0.92750533049040507</v>
          </cell>
        </row>
        <row r="31">
          <cell r="B31">
            <v>0.91537132987910186</v>
          </cell>
        </row>
        <row r="35">
          <cell r="B35">
            <v>0.79708029197080288</v>
          </cell>
        </row>
        <row r="36">
          <cell r="B36">
            <v>0.9167014091553406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0.93329886246122029</v>
          </cell>
        </row>
        <row r="28">
          <cell r="B28">
            <v>0.99939256909526542</v>
          </cell>
        </row>
        <row r="31">
          <cell r="B31">
            <v>0.74556213017751483</v>
          </cell>
        </row>
        <row r="35">
          <cell r="B35">
            <v>1.0347688660608456</v>
          </cell>
        </row>
        <row r="36">
          <cell r="B36">
            <v>0.97999532198298678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0.97529511987343309</v>
          </cell>
        </row>
        <row r="28">
          <cell r="B28">
            <v>1.0051193179554598</v>
          </cell>
        </row>
        <row r="31">
          <cell r="B31">
            <v>0.8271276595744681</v>
          </cell>
        </row>
        <row r="35">
          <cell r="B35">
            <v>0.83201533668823391</v>
          </cell>
        </row>
        <row r="36">
          <cell r="B36">
            <v>0.98547340033640551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0.89522793921620902</v>
          </cell>
        </row>
        <row r="28">
          <cell r="B28">
            <v>0.99581054036024019</v>
          </cell>
        </row>
        <row r="31">
          <cell r="B31">
            <v>0.97297297297297303</v>
          </cell>
        </row>
        <row r="35">
          <cell r="B35">
            <v>0.97565922920892489</v>
          </cell>
        </row>
        <row r="36">
          <cell r="B36">
            <v>0.97267705855758457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0.96229293809938976</v>
          </cell>
        </row>
        <row r="28">
          <cell r="B28">
            <v>0.98379275140377742</v>
          </cell>
        </row>
        <row r="31">
          <cell r="B31">
            <v>1.0610500610500611</v>
          </cell>
        </row>
        <row r="35">
          <cell r="B35">
            <v>0.86338089061824475</v>
          </cell>
        </row>
        <row r="36">
          <cell r="B36">
            <v>0.97227496091132459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0.98490081910589167</v>
          </cell>
        </row>
        <row r="28">
          <cell r="B28">
            <v>0.99920581344557835</v>
          </cell>
        </row>
        <row r="31">
          <cell r="B31">
            <v>0.61141011840688908</v>
          </cell>
        </row>
        <row r="35">
          <cell r="B35">
            <v>1.007450980392157</v>
          </cell>
        </row>
        <row r="36">
          <cell r="B36">
            <v>0.98672509343987624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0.97570452511405559</v>
          </cell>
        </row>
        <row r="28">
          <cell r="B28">
            <v>0.98919194058755378</v>
          </cell>
        </row>
        <row r="31">
          <cell r="B31">
            <v>0.58888255224932062</v>
          </cell>
        </row>
        <row r="35">
          <cell r="B35">
            <v>0.85455772775657501</v>
          </cell>
        </row>
        <row r="36">
          <cell r="B36">
            <v>0.97254647386604443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0.94182047357522281</v>
          </cell>
        </row>
        <row r="28">
          <cell r="B28">
            <v>1.0109882207424241</v>
          </cell>
        </row>
        <row r="31">
          <cell r="B31">
            <v>0.62314068354717833</v>
          </cell>
        </row>
        <row r="35">
          <cell r="B35">
            <v>0.95690844962429078</v>
          </cell>
        </row>
        <row r="36">
          <cell r="B36">
            <v>0.99225464615355663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1.0245142195341654</v>
          </cell>
        </row>
        <row r="28">
          <cell r="B28">
            <v>1.0143402515357633</v>
          </cell>
        </row>
        <row r="31">
          <cell r="B31">
            <v>1.3735317149569304</v>
          </cell>
        </row>
        <row r="35">
          <cell r="B35">
            <v>0.90998777719573953</v>
          </cell>
        </row>
        <row r="36">
          <cell r="B36">
            <v>1.0171154884605451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8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0.97567057045712124</v>
          </cell>
        </row>
        <row r="28">
          <cell r="B28">
            <v>0.97153506149521951</v>
          </cell>
        </row>
        <row r="31">
          <cell r="B31">
            <v>0.95235241234641899</v>
          </cell>
        </row>
        <row r="35">
          <cell r="B35">
            <v>0.81725507028651145</v>
          </cell>
        </row>
        <row r="36">
          <cell r="B36">
            <v>0.96556220834842643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0.95379300417446378</v>
          </cell>
        </row>
        <row r="28">
          <cell r="B28">
            <v>0.99405387091309505</v>
          </cell>
        </row>
        <row r="31">
          <cell r="B31">
            <v>1.0302811824080751</v>
          </cell>
        </row>
        <row r="35">
          <cell r="B35">
            <v>0.92832893247831005</v>
          </cell>
        </row>
        <row r="36">
          <cell r="B36">
            <v>0.98517450170213872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0.94808965276971313</v>
          </cell>
        </row>
        <row r="28">
          <cell r="B28">
            <v>0.9557359419988205</v>
          </cell>
        </row>
        <row r="31">
          <cell r="B31">
            <v>0.93076049943246308</v>
          </cell>
        </row>
        <row r="35">
          <cell r="B35">
            <v>1.0525368837711406</v>
          </cell>
        </row>
        <row r="36">
          <cell r="B36">
            <v>0.96014404593897518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0.97678942249559708</v>
          </cell>
        </row>
        <row r="28">
          <cell r="B28">
            <v>1.0024462748498173</v>
          </cell>
        </row>
        <row r="31">
          <cell r="B31">
            <v>0.88549177963657344</v>
          </cell>
        </row>
        <row r="35">
          <cell r="B35">
            <v>0.92940270409036452</v>
          </cell>
        </row>
        <row r="36">
          <cell r="B36">
            <v>0.98755313903436881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0.90230615580170692</v>
          </cell>
        </row>
        <row r="28">
          <cell r="B28">
            <v>1.0204595530374567</v>
          </cell>
        </row>
        <row r="31">
          <cell r="B31">
            <v>0.57516339869281041</v>
          </cell>
        </row>
        <row r="35">
          <cell r="B35">
            <v>0.96786757546251212</v>
          </cell>
        </row>
        <row r="36">
          <cell r="B36">
            <v>0.98072383949645947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0.91755642970871965</v>
          </cell>
        </row>
        <row r="28">
          <cell r="B28">
            <v>1.0003195760291346</v>
          </cell>
        </row>
        <row r="31">
          <cell r="B31">
            <v>0.70152375261428146</v>
          </cell>
        </row>
        <row r="35">
          <cell r="B35">
            <v>0.98012662680267326</v>
          </cell>
        </row>
        <row r="36">
          <cell r="B36">
            <v>0.97737277604924244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0.95234055446144528</v>
          </cell>
        </row>
        <row r="28">
          <cell r="B28">
            <v>1.0001954895235388</v>
          </cell>
        </row>
        <row r="31">
          <cell r="B31">
            <v>1.0041938490214353</v>
          </cell>
        </row>
        <row r="35">
          <cell r="B35">
            <v>0.96866840731070492</v>
          </cell>
        </row>
        <row r="36">
          <cell r="B36">
            <v>0.98862746873847707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0.96531013772393082</v>
          </cell>
        </row>
        <row r="28">
          <cell r="B28">
            <v>1.0163580696894592</v>
          </cell>
        </row>
        <row r="31">
          <cell r="B31">
            <v>0.96078431372549022</v>
          </cell>
        </row>
        <row r="35">
          <cell r="B35">
            <v>0.76572327044025157</v>
          </cell>
        </row>
        <row r="36">
          <cell r="B36">
            <v>0.99443259385665528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0.88721064326498467</v>
          </cell>
        </row>
        <row r="28">
          <cell r="B28">
            <v>0.98062090466722884</v>
          </cell>
        </row>
        <row r="31">
          <cell r="B31">
            <v>1.0635551142005959</v>
          </cell>
        </row>
        <row r="35">
          <cell r="B35">
            <v>0.7605757416183957</v>
          </cell>
        </row>
        <row r="36">
          <cell r="B36">
            <v>0.95507369860949298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0.94331043823159522</v>
          </cell>
        </row>
        <row r="28">
          <cell r="B28">
            <v>0.98359038597040638</v>
          </cell>
        </row>
        <row r="31">
          <cell r="B31">
            <v>1.062376887721602</v>
          </cell>
        </row>
        <row r="35">
          <cell r="B35">
            <v>1.0590841949778433</v>
          </cell>
        </row>
        <row r="36">
          <cell r="B36">
            <v>0.97908437264213755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1.1678929765886288</v>
          </cell>
        </row>
        <row r="28">
          <cell r="B28">
            <v>0.96683732836862923</v>
          </cell>
        </row>
        <row r="31">
          <cell r="B31">
            <v>1.0842391304347827</v>
          </cell>
        </row>
        <row r="35">
          <cell r="B35">
            <v>0.79028852920478532</v>
          </cell>
        </row>
        <row r="36">
          <cell r="B36">
            <v>1.0393661104266996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8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0.88309982486865146</v>
          </cell>
        </row>
        <row r="28">
          <cell r="B28">
            <v>0.97721026878477113</v>
          </cell>
        </row>
        <row r="31">
          <cell r="B31">
            <v>0.90463215258855589</v>
          </cell>
        </row>
        <row r="35">
          <cell r="B35">
            <v>0.99097472924187724</v>
          </cell>
        </row>
        <row r="36">
          <cell r="B36">
            <v>0.9552136417091337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0.97813017495860033</v>
          </cell>
        </row>
        <row r="28">
          <cell r="B28">
            <v>0.99288932945890873</v>
          </cell>
        </row>
        <row r="31">
          <cell r="B31">
            <v>0.50487106017191974</v>
          </cell>
        </row>
        <row r="35">
          <cell r="B35">
            <v>1.0816812913010507</v>
          </cell>
        </row>
        <row r="36">
          <cell r="B36">
            <v>0.97743282870054682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0.9596222728752849</v>
          </cell>
        </row>
        <row r="28">
          <cell r="B28">
            <v>1.0199077125906395</v>
          </cell>
        </row>
        <row r="31">
          <cell r="B31">
            <v>0.91056910569105687</v>
          </cell>
        </row>
        <row r="35">
          <cell r="B35">
            <v>0.96209386281588449</v>
          </cell>
        </row>
        <row r="36">
          <cell r="B36">
            <v>0.99860335195530725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0.90998617105979973</v>
          </cell>
        </row>
        <row r="28">
          <cell r="B28">
            <v>0.98261811338174454</v>
          </cell>
        </row>
        <row r="31">
          <cell r="B31">
            <v>0.98619329388560162</v>
          </cell>
        </row>
        <row r="35">
          <cell r="B35">
            <v>0.96232996163236828</v>
          </cell>
        </row>
        <row r="36">
          <cell r="B36">
            <v>0.96988389486430659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0.93670886075949367</v>
          </cell>
        </row>
        <row r="28">
          <cell r="B28">
            <v>0.95319054979024065</v>
          </cell>
        </row>
        <row r="31">
          <cell r="B31">
            <v>1.2642487046632125</v>
          </cell>
        </row>
        <row r="35">
          <cell r="B35">
            <v>0.79052369077306728</v>
          </cell>
        </row>
        <row r="36">
          <cell r="B36">
            <v>0.94967970330411333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0.90151083238312424</v>
          </cell>
        </row>
        <row r="28">
          <cell r="B28">
            <v>0.93223170184104176</v>
          </cell>
        </row>
        <row r="31">
          <cell r="B31">
            <v>0.72077922077922074</v>
          </cell>
        </row>
        <row r="35">
          <cell r="B35">
            <v>0.95028524857375718</v>
          </cell>
        </row>
        <row r="36">
          <cell r="B36">
            <v>0.92341231452590844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0.93668068266139004</v>
          </cell>
        </row>
        <row r="28">
          <cell r="B28">
            <v>0.97183011038991318</v>
          </cell>
        </row>
        <row r="31">
          <cell r="B31">
            <v>0.65953545232273836</v>
          </cell>
        </row>
        <row r="35">
          <cell r="B35">
            <v>0.92427562697832966</v>
          </cell>
        </row>
        <row r="36">
          <cell r="B36">
            <v>0.95907763767738707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0.96434958864909981</v>
          </cell>
        </row>
        <row r="28">
          <cell r="B28">
            <v>1.022618642881427</v>
          </cell>
        </row>
        <row r="31">
          <cell r="B31">
            <v>0.78144564598747868</v>
          </cell>
        </row>
        <row r="35">
          <cell r="B35">
            <v>0.99225286643941746</v>
          </cell>
        </row>
        <row r="36">
          <cell r="B36">
            <v>1.0017279580830813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0.98301291831960125</v>
          </cell>
        </row>
        <row r="28">
          <cell r="B28">
            <v>0.98287875771451327</v>
          </cell>
        </row>
        <row r="31">
          <cell r="B31">
            <v>0.88706091596265002</v>
          </cell>
        </row>
        <row r="35">
          <cell r="B35">
            <v>0.9666375109334</v>
          </cell>
        </row>
        <row r="36">
          <cell r="B36">
            <v>0.98035241378290006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0.90217998882057016</v>
          </cell>
        </row>
        <row r="28">
          <cell r="B28">
            <v>0.9693831942789034</v>
          </cell>
        </row>
        <row r="31">
          <cell r="B31">
            <v>0.90909090909090906</v>
          </cell>
        </row>
        <row r="35">
          <cell r="B35">
            <v>0.77101769911504425</v>
          </cell>
        </row>
        <row r="36">
          <cell r="B36">
            <v>0.94142322097378273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0.97374212034383956</v>
          </cell>
        </row>
        <row r="28">
          <cell r="B28">
            <v>1.0158679197556086</v>
          </cell>
        </row>
        <row r="31">
          <cell r="B31">
            <v>0.91898815241754728</v>
          </cell>
        </row>
        <row r="35">
          <cell r="B35">
            <v>1.1813897118233234</v>
          </cell>
        </row>
        <row r="36">
          <cell r="B36">
            <v>1.008562047199427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8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0.95915969378671884</v>
          </cell>
        </row>
        <row r="28">
          <cell r="B28">
            <v>1.0168471495558904</v>
          </cell>
        </row>
        <row r="31">
          <cell r="B31">
            <v>0.77557755775577553</v>
          </cell>
        </row>
        <row r="35">
          <cell r="B35">
            <v>1.0540483701366983</v>
          </cell>
        </row>
        <row r="36">
          <cell r="B36">
            <v>1.0016116261307659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0.99596495273230345</v>
          </cell>
        </row>
        <row r="28">
          <cell r="B28">
            <v>1.0183486238532109</v>
          </cell>
        </row>
        <row r="31">
          <cell r="B31">
            <v>0.88067349926793559</v>
          </cell>
        </row>
        <row r="35">
          <cell r="B35">
            <v>0.91180523656407897</v>
          </cell>
        </row>
        <row r="36">
          <cell r="B36">
            <v>1.001533238418574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0.96530239553120634</v>
          </cell>
        </row>
        <row r="28">
          <cell r="B28">
            <v>0.97382944115255021</v>
          </cell>
        </row>
        <row r="31">
          <cell r="B31">
            <v>1.0578512396694215</v>
          </cell>
        </row>
        <row r="35">
          <cell r="B35">
            <v>1.0266009852216749</v>
          </cell>
        </row>
        <row r="36">
          <cell r="B36">
            <v>0.97595143090058778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0.90780516218282425</v>
          </cell>
        </row>
        <row r="28">
          <cell r="B28">
            <v>0.99661338152976886</v>
          </cell>
        </row>
        <row r="31">
          <cell r="B31">
            <v>0.85996119016817596</v>
          </cell>
        </row>
        <row r="35">
          <cell r="B35">
            <v>1.0019118534916482</v>
          </cell>
        </row>
        <row r="36">
          <cell r="B36">
            <v>0.98174054228662588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0.93978976177147477</v>
          </cell>
        </row>
        <row r="28">
          <cell r="B28">
            <v>0.98086389936589824</v>
          </cell>
        </row>
        <row r="31">
          <cell r="B31">
            <v>0.89116094986807393</v>
          </cell>
        </row>
        <row r="35">
          <cell r="B35">
            <v>0.91931684334511188</v>
          </cell>
        </row>
        <row r="36">
          <cell r="B36">
            <v>0.9723649950968789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0.97035468501852828</v>
          </cell>
        </row>
        <row r="28">
          <cell r="B28">
            <v>0.98825169255276779</v>
          </cell>
        </row>
        <row r="31">
          <cell r="B31">
            <v>1.0111524163568772</v>
          </cell>
        </row>
        <row r="35">
          <cell r="B35">
            <v>0.99024390243902438</v>
          </cell>
        </row>
        <row r="36">
          <cell r="B36">
            <v>0.98514572555447422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0.96114209505334625</v>
          </cell>
        </row>
        <row r="28">
          <cell r="B28">
            <v>1.0014790666787408</v>
          </cell>
        </row>
        <row r="31">
          <cell r="B31">
            <v>0.78282208588957058</v>
          </cell>
        </row>
        <row r="35">
          <cell r="B35">
            <v>0.86587695834925482</v>
          </cell>
        </row>
        <row r="36">
          <cell r="B36">
            <v>0.98565533729497357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0.92568277310924374</v>
          </cell>
        </row>
        <row r="28">
          <cell r="B28">
            <v>0.98562364880902742</v>
          </cell>
        </row>
        <row r="31">
          <cell r="B31">
            <v>0.6811594202898551</v>
          </cell>
        </row>
        <row r="35">
          <cell r="B35">
            <v>1.0207070707070707</v>
          </cell>
        </row>
        <row r="36">
          <cell r="B36">
            <v>0.97305864517347518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0.96336484811886292</v>
          </cell>
        </row>
        <row r="28">
          <cell r="B28">
            <v>0.99913373020456453</v>
          </cell>
        </row>
        <row r="31">
          <cell r="B31">
            <v>0.83644811564274657</v>
          </cell>
        </row>
        <row r="35">
          <cell r="B35">
            <v>1.0042966983265491</v>
          </cell>
        </row>
        <row r="36">
          <cell r="B36">
            <v>0.9907530613984411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0.99875562362400694</v>
          </cell>
        </row>
        <row r="28">
          <cell r="B28">
            <v>1.0365150910024534</v>
          </cell>
        </row>
        <row r="31">
          <cell r="B31">
            <v>0.52230685527747556</v>
          </cell>
        </row>
        <row r="35">
          <cell r="B35">
            <v>0.95198618307426597</v>
          </cell>
        </row>
        <row r="36">
          <cell r="B36">
            <v>1.0139714082936226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1.0370225451835289</v>
          </cell>
        </row>
        <row r="28">
          <cell r="B28">
            <v>1.0393642579929772</v>
          </cell>
        </row>
        <row r="31">
          <cell r="B31">
            <v>0.98239110287303055</v>
          </cell>
        </row>
        <row r="35">
          <cell r="B35">
            <v>0.96608026967239014</v>
          </cell>
        </row>
        <row r="36">
          <cell r="B36">
            <v>1.0310822662690755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8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1.0133164963838825</v>
          </cell>
        </row>
        <row r="28">
          <cell r="B28">
            <v>0.99586649392312909</v>
          </cell>
        </row>
        <row r="31">
          <cell r="B31">
            <v>0.55542452830188682</v>
          </cell>
        </row>
        <row r="35">
          <cell r="B35">
            <v>1.0700483091787441</v>
          </cell>
        </row>
        <row r="36">
          <cell r="B36">
            <v>0.99432424455695056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0.96610851465535919</v>
          </cell>
        </row>
        <row r="28">
          <cell r="B28">
            <v>1.0175728757494316</v>
          </cell>
        </row>
        <row r="31">
          <cell r="B31">
            <v>0.81377066955814581</v>
          </cell>
        </row>
        <row r="35">
          <cell r="B35">
            <v>0.88751691474966166</v>
          </cell>
        </row>
        <row r="36">
          <cell r="B36">
            <v>1.0017764016454045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0.91441837118835489</v>
          </cell>
        </row>
        <row r="28">
          <cell r="B28">
            <v>0.98467486232408075</v>
          </cell>
        </row>
        <row r="31">
          <cell r="B31">
            <v>0.74829931972789121</v>
          </cell>
        </row>
        <row r="35">
          <cell r="B35">
            <v>1.0312035661218424</v>
          </cell>
        </row>
        <row r="36">
          <cell r="B36">
            <v>0.97115773149715512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0.95842666427739454</v>
          </cell>
        </row>
        <row r="28">
          <cell r="B28">
            <v>1.005981404346882</v>
          </cell>
        </row>
        <row r="31">
          <cell r="B31">
            <v>0.74142156862745101</v>
          </cell>
        </row>
        <row r="35">
          <cell r="B35">
            <v>0.95818345323741005</v>
          </cell>
        </row>
        <row r="36">
          <cell r="B36">
            <v>0.99283049122698819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0.93444102346321267</v>
          </cell>
        </row>
        <row r="28">
          <cell r="B28">
            <v>0.99790790709066413</v>
          </cell>
        </row>
        <row r="31">
          <cell r="B31">
            <v>0.90170132325141772</v>
          </cell>
        </row>
        <row r="35">
          <cell r="B35">
            <v>0.72291252485089463</v>
          </cell>
        </row>
        <row r="36">
          <cell r="B36">
            <v>0.97720555488076444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0.94612991653063105</v>
          </cell>
        </row>
        <row r="28">
          <cell r="B28">
            <v>1.004415077945827</v>
          </cell>
        </row>
        <row r="31">
          <cell r="B31">
            <v>0.8884162303664922</v>
          </cell>
        </row>
        <row r="35">
          <cell r="B35">
            <v>0.96534860975268966</v>
          </cell>
        </row>
        <row r="36">
          <cell r="B36">
            <v>0.98658045023613039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0.97068830149175611</v>
          </cell>
        </row>
        <row r="28">
          <cell r="B28">
            <v>1.0215430861723447</v>
          </cell>
        </row>
        <row r="31">
          <cell r="B31">
            <v>0.85327313769751689</v>
          </cell>
        </row>
        <row r="35">
          <cell r="B35">
            <v>0.82634730538922152</v>
          </cell>
        </row>
        <row r="36">
          <cell r="B36">
            <v>1.0015497201894104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0.94181173436492582</v>
          </cell>
        </row>
        <row r="28">
          <cell r="B28">
            <v>1.0034238228432817</v>
          </cell>
        </row>
        <row r="31">
          <cell r="B31">
            <v>0.84872159090909094</v>
          </cell>
        </row>
        <row r="35">
          <cell r="B35">
            <v>0.99695933105283163</v>
          </cell>
        </row>
        <row r="36">
          <cell r="B36">
            <v>0.99072712568466714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0.93498500253204009</v>
          </cell>
        </row>
        <row r="28">
          <cell r="B28">
            <v>1.0041950029568303</v>
          </cell>
        </row>
        <row r="31">
          <cell r="B31">
            <v>0.64340786430223595</v>
          </cell>
        </row>
        <row r="35">
          <cell r="B35">
            <v>1.0143331321665661</v>
          </cell>
        </row>
        <row r="36">
          <cell r="B36">
            <v>0.99078228860867312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1.0155292194523906</v>
          </cell>
        </row>
        <row r="28">
          <cell r="B28">
            <v>1.0287758983084776</v>
          </cell>
        </row>
        <row r="31">
          <cell r="B31">
            <v>0.99796747967479671</v>
          </cell>
        </row>
        <row r="35">
          <cell r="B35">
            <v>1.1884057971014492</v>
          </cell>
        </row>
        <row r="36">
          <cell r="B36">
            <v>1.0332205937617438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1.0537669661005835</v>
          </cell>
        </row>
        <row r="28">
          <cell r="B28">
            <v>0.97942132136778581</v>
          </cell>
        </row>
        <row r="31">
          <cell r="B31">
            <v>0.99370277078085645</v>
          </cell>
        </row>
        <row r="35">
          <cell r="B35">
            <v>1.0448307410795974</v>
          </cell>
        </row>
        <row r="36">
          <cell r="B36">
            <v>1.0207657990178771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8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0.95556138166087701</v>
          </cell>
        </row>
        <row r="28">
          <cell r="B28">
            <v>1.021545962097979</v>
          </cell>
        </row>
        <row r="31">
          <cell r="B31">
            <v>0.78332034294621977</v>
          </cell>
        </row>
        <row r="35">
          <cell r="B35">
            <v>1.0079590676520751</v>
          </cell>
        </row>
        <row r="36">
          <cell r="B36">
            <v>1.0023686659335083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0.92335794792071513</v>
          </cell>
        </row>
        <row r="28">
          <cell r="B28">
            <v>1.0074748080046678</v>
          </cell>
        </row>
        <row r="31">
          <cell r="B31">
            <v>0.73979183346677346</v>
          </cell>
        </row>
        <row r="35">
          <cell r="B35">
            <v>1.1075412762159751</v>
          </cell>
        </row>
        <row r="36">
          <cell r="B36">
            <v>0.99252833216327352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0.92743854084060273</v>
          </cell>
        </row>
        <row r="28">
          <cell r="B28">
            <v>0.94021378102542419</v>
          </cell>
        </row>
        <row r="31">
          <cell r="B31">
            <v>0.93366093366093361</v>
          </cell>
        </row>
        <row r="35">
          <cell r="B35">
            <v>0.78340365682137836</v>
          </cell>
        </row>
        <row r="36">
          <cell r="B36">
            <v>0.93235332951894723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0.9000623052959501</v>
          </cell>
        </row>
        <row r="28">
          <cell r="B28">
            <v>1.0074558844975936</v>
          </cell>
        </row>
        <row r="31">
          <cell r="B31">
            <v>0.87556221889055474</v>
          </cell>
        </row>
        <row r="35">
          <cell r="B35">
            <v>0.96777862016679306</v>
          </cell>
        </row>
        <row r="36">
          <cell r="B36">
            <v>0.98068858676780901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0.98529507450061815</v>
          </cell>
        </row>
        <row r="28">
          <cell r="B28">
            <v>1.0018797777684949</v>
          </cell>
        </row>
        <row r="31">
          <cell r="B31">
            <v>0.81672932330827064</v>
          </cell>
        </row>
        <row r="35">
          <cell r="B35">
            <v>0.89587378640776694</v>
          </cell>
        </row>
        <row r="36">
          <cell r="B36">
            <v>0.98889392234513596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0.97001445086705207</v>
          </cell>
        </row>
        <row r="28">
          <cell r="B28">
            <v>1.0146014843497904</v>
          </cell>
        </row>
        <row r="31">
          <cell r="B31">
            <v>0.62557603686635943</v>
          </cell>
        </row>
        <row r="35">
          <cell r="B35">
            <v>0.77738825591586325</v>
          </cell>
        </row>
        <row r="36">
          <cell r="B36">
            <v>0.99267938490918861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0.94395480225988704</v>
          </cell>
        </row>
        <row r="28">
          <cell r="B28">
            <v>0.97500105927714931</v>
          </cell>
        </row>
        <row r="31">
          <cell r="B31">
            <v>0.57845868152274837</v>
          </cell>
        </row>
        <row r="35">
          <cell r="B35">
            <v>1.1974000962927298</v>
          </cell>
        </row>
        <row r="36">
          <cell r="B36">
            <v>0.96826288442634456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0.98266009852216751</v>
          </cell>
        </row>
        <row r="28">
          <cell r="B28">
            <v>1.0078202173197235</v>
          </cell>
        </row>
        <row r="31">
          <cell r="B31">
            <v>0.95331325301204817</v>
          </cell>
        </row>
        <row r="35">
          <cell r="B35">
            <v>1.2347684809098294</v>
          </cell>
        </row>
        <row r="36">
          <cell r="B36">
            <v>1.0149313318428617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0.94898804789739766</v>
          </cell>
        </row>
        <row r="28">
          <cell r="B28">
            <v>0.98786834599437134</v>
          </cell>
        </row>
        <row r="31">
          <cell r="B31">
            <v>0.9156742300781413</v>
          </cell>
        </row>
        <row r="35">
          <cell r="B35">
            <v>0.89731398748531299</v>
          </cell>
        </row>
        <row r="36">
          <cell r="B36">
            <v>0.97729716717564497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0.91593507857553358</v>
          </cell>
        </row>
        <row r="28">
          <cell r="B28">
            <v>0.99760106957190797</v>
          </cell>
        </row>
        <row r="31">
          <cell r="B31">
            <v>0.78889773179466771</v>
          </cell>
        </row>
        <row r="35">
          <cell r="B35">
            <v>0.80329089419998512</v>
          </cell>
        </row>
        <row r="36">
          <cell r="B36">
            <v>0.97866031061238701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0.95506294894570176</v>
          </cell>
        </row>
        <row r="28">
          <cell r="B28">
            <v>0.99477472970343817</v>
          </cell>
        </row>
        <row r="31">
          <cell r="B31">
            <v>0.93022722056460871</v>
          </cell>
        </row>
        <row r="35">
          <cell r="B35">
            <v>1.1017346460384434</v>
          </cell>
        </row>
        <row r="36">
          <cell r="B36">
            <v>0.9818093086066505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8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0.92696393991730774</v>
          </cell>
        </row>
        <row r="28">
          <cell r="B28">
            <v>1.0113111009593421</v>
          </cell>
        </row>
        <row r="31">
          <cell r="B31">
            <v>0.93640426263320731</v>
          </cell>
        </row>
        <row r="35">
          <cell r="B35">
            <v>0.89706382496315606</v>
          </cell>
        </row>
        <row r="36">
          <cell r="B36">
            <v>0.98980776673977555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0.95215199689802243</v>
          </cell>
        </row>
        <row r="28">
          <cell r="B28">
            <v>0.99942009629916007</v>
          </cell>
        </row>
        <row r="31">
          <cell r="B31">
            <v>0.89850560398505608</v>
          </cell>
        </row>
        <row r="35">
          <cell r="B35">
            <v>0.97815726767275613</v>
          </cell>
        </row>
        <row r="36">
          <cell r="B36">
            <v>0.98825836996956373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0.95846830171217035</v>
          </cell>
        </row>
        <row r="28">
          <cell r="B28">
            <v>0.99732858414959924</v>
          </cell>
        </row>
        <row r="31">
          <cell r="B31">
            <v>0.91196698762035766</v>
          </cell>
        </row>
        <row r="35">
          <cell r="B35">
            <v>1.0111298482293423</v>
          </cell>
        </row>
        <row r="36">
          <cell r="B36">
            <v>0.98849323204078099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0.96035740237371159</v>
          </cell>
        </row>
        <row r="28">
          <cell r="B28">
            <v>1.0150522497157399</v>
          </cell>
        </row>
        <row r="31">
          <cell r="B31">
            <v>0.92607944732297065</v>
          </cell>
        </row>
        <row r="35">
          <cell r="B35">
            <v>0.94435309389874511</v>
          </cell>
        </row>
        <row r="36">
          <cell r="B36">
            <v>0.99347004557074581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0.91358483553242886</v>
          </cell>
        </row>
        <row r="28">
          <cell r="B28">
            <v>0.99851070431275213</v>
          </cell>
        </row>
        <row r="31">
          <cell r="B31">
            <v>0.63662790697674421</v>
          </cell>
        </row>
        <row r="35">
          <cell r="B35">
            <v>1.0705663881151346</v>
          </cell>
        </row>
        <row r="36">
          <cell r="B36">
            <v>0.97652397783304967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0.87497587338351668</v>
          </cell>
        </row>
        <row r="28">
          <cell r="B28">
            <v>1.0039583876261648</v>
          </cell>
        </row>
        <row r="31">
          <cell r="B31">
            <v>0.85044313146233386</v>
          </cell>
        </row>
        <row r="35">
          <cell r="B35">
            <v>0.87265790589232728</v>
          </cell>
        </row>
        <row r="36">
          <cell r="B36">
            <v>0.96702336203063743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0.96115982400050648</v>
          </cell>
        </row>
        <row r="28">
          <cell r="B28">
            <v>1.0094508149307564</v>
          </cell>
        </row>
        <row r="31">
          <cell r="B31">
            <v>0.9002570694087404</v>
          </cell>
        </row>
        <row r="35">
          <cell r="B35">
            <v>0.96145847774850968</v>
          </cell>
        </row>
        <row r="36">
          <cell r="B36">
            <v>0.99628565111651557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1.0235123690661911</v>
          </cell>
        </row>
        <row r="28">
          <cell r="B28">
            <v>0.99195510429169231</v>
          </cell>
        </row>
        <row r="31">
          <cell r="B31">
            <v>0.5882852292020373</v>
          </cell>
        </row>
        <row r="35">
          <cell r="B35">
            <v>0.71758072783188109</v>
          </cell>
        </row>
        <row r="36">
          <cell r="B36">
            <v>0.9750058234334964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0.90521281376388263</v>
          </cell>
        </row>
        <row r="28">
          <cell r="B28">
            <v>0.98443085606773284</v>
          </cell>
        </row>
        <row r="31">
          <cell r="B31">
            <v>0.81127197518097205</v>
          </cell>
        </row>
        <row r="35">
          <cell r="B35">
            <v>0.87007087043430853</v>
          </cell>
        </row>
        <row r="36">
          <cell r="B36">
            <v>0.96377391649764366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0.93921518338035392</v>
          </cell>
        </row>
        <row r="28">
          <cell r="B28">
            <v>0.99789477229857182</v>
          </cell>
        </row>
        <row r="31">
          <cell r="B31">
            <v>0.84509569377990434</v>
          </cell>
        </row>
        <row r="35">
          <cell r="B35">
            <v>0.94589228096301814</v>
          </cell>
        </row>
        <row r="36">
          <cell r="B36">
            <v>0.9788700752021946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1.0563095501883448</v>
          </cell>
        </row>
        <row r="28">
          <cell r="B28">
            <v>1.0041338712877836</v>
          </cell>
        </row>
        <row r="31">
          <cell r="B31">
            <v>0.8833333333333333</v>
          </cell>
        </row>
        <row r="35">
          <cell r="B35">
            <v>0.80692345197464654</v>
          </cell>
        </row>
        <row r="36">
          <cell r="B36">
            <v>1.0109509306260576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8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0.96552567237163811</v>
          </cell>
        </row>
        <row r="28">
          <cell r="B28">
            <v>0.98847401476982544</v>
          </cell>
        </row>
        <row r="31">
          <cell r="B31">
            <v>0.90878378378378377</v>
          </cell>
        </row>
        <row r="35">
          <cell r="B35">
            <v>0.86976047904191611</v>
          </cell>
        </row>
        <row r="36">
          <cell r="B36">
            <v>0.97840659059509794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0.9300234400258649</v>
          </cell>
        </row>
        <row r="28">
          <cell r="B28">
            <v>1.006446824660538</v>
          </cell>
        </row>
        <row r="31">
          <cell r="B31">
            <v>0.85783600194080545</v>
          </cell>
        </row>
        <row r="35">
          <cell r="B35">
            <v>0.98135627945093218</v>
          </cell>
        </row>
        <row r="36">
          <cell r="B36">
            <v>0.99277893538349293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0.97146785837057403</v>
          </cell>
        </row>
        <row r="28">
          <cell r="B28">
            <v>1.026006464883926</v>
          </cell>
        </row>
        <row r="31">
          <cell r="B31">
            <v>1.2555555555555555</v>
          </cell>
        </row>
        <row r="35">
          <cell r="B35">
            <v>0.77439024390243905</v>
          </cell>
        </row>
        <row r="36">
          <cell r="B36">
            <v>1.0014096419509444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0.96276792313377679</v>
          </cell>
        </row>
        <row r="28">
          <cell r="B28">
            <v>0.98851599654128841</v>
          </cell>
        </row>
        <row r="31">
          <cell r="B31">
            <v>0.97600872410032713</v>
          </cell>
        </row>
        <row r="35">
          <cell r="B35">
            <v>0.97679400214209211</v>
          </cell>
        </row>
        <row r="36">
          <cell r="B36">
            <v>0.98410440648141362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0.98100972672533582</v>
          </cell>
        </row>
        <row r="28">
          <cell r="B28">
            <v>0.98438719750195158</v>
          </cell>
        </row>
        <row r="31">
          <cell r="B31">
            <v>0.77586206896551724</v>
          </cell>
        </row>
        <row r="35">
          <cell r="B35">
            <v>0.75350140056022408</v>
          </cell>
        </row>
        <row r="36">
          <cell r="B36">
            <v>0.9725992317541613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0.91211492663440119</v>
          </cell>
        </row>
        <row r="28">
          <cell r="B28">
            <v>0.97118647596444108</v>
          </cell>
        </row>
        <row r="31">
          <cell r="B31">
            <v>0.80019029495718363</v>
          </cell>
        </row>
        <row r="35">
          <cell r="B35">
            <v>1.0249895876718034</v>
          </cell>
        </row>
        <row r="36">
          <cell r="B36">
            <v>0.95848190753775075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0.94019401940194014</v>
          </cell>
        </row>
        <row r="28">
          <cell r="B28">
            <v>0.99323384780952484</v>
          </cell>
        </row>
        <row r="31">
          <cell r="B31">
            <v>0.83302721656370016</v>
          </cell>
        </row>
        <row r="35">
          <cell r="B35">
            <v>0.91334383711065326</v>
          </cell>
        </row>
        <row r="36">
          <cell r="B36">
            <v>0.97958906087498776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0.98466378293354306</v>
          </cell>
        </row>
        <row r="28">
          <cell r="B28">
            <v>0.99077517309391239</v>
          </cell>
        </row>
        <row r="31">
          <cell r="B31">
            <v>0.90514905149051494</v>
          </cell>
        </row>
        <row r="35">
          <cell r="B35">
            <v>0.79747406405051868</v>
          </cell>
        </row>
        <row r="36">
          <cell r="B36">
            <v>0.97573122984799632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0.95734627418427942</v>
          </cell>
        </row>
        <row r="28">
          <cell r="B28">
            <v>1.0126782077393075</v>
          </cell>
        </row>
        <row r="31">
          <cell r="B31">
            <v>0.79409479409479411</v>
          </cell>
        </row>
        <row r="35">
          <cell r="B35">
            <v>0.99269200106298161</v>
          </cell>
        </row>
        <row r="36">
          <cell r="B36">
            <v>0.99515835613298764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0.9871123640757149</v>
          </cell>
        </row>
        <row r="28">
          <cell r="B28">
            <v>1.0513575160032373</v>
          </cell>
        </row>
        <row r="31">
          <cell r="B31">
            <v>1.0169779286926994</v>
          </cell>
        </row>
        <row r="35">
          <cell r="B35">
            <v>0.58411949685534592</v>
          </cell>
        </row>
        <row r="36">
          <cell r="B36">
            <v>1.0056322852385151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0.93065015479876156</v>
          </cell>
        </row>
        <row r="28">
          <cell r="B28">
            <v>0.97964897168084419</v>
          </cell>
        </row>
        <row r="31">
          <cell r="B31">
            <v>1.2160413971539457</v>
          </cell>
        </row>
        <row r="35">
          <cell r="B35">
            <v>1.2116920842411039</v>
          </cell>
        </row>
        <row r="36">
          <cell r="B36">
            <v>0.97842773290523255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0.99652949925632128</v>
          </cell>
        </row>
        <row r="28">
          <cell r="B28">
            <v>0.98541716471431984</v>
          </cell>
        </row>
        <row r="31">
          <cell r="B31">
            <v>0.84969325153374231</v>
          </cell>
        </row>
        <row r="35">
          <cell r="B35">
            <v>1.0369098712446352</v>
          </cell>
        </row>
        <row r="36">
          <cell r="B36">
            <v>0.99063364344983651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9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0.95332551008820077</v>
          </cell>
        </row>
        <row r="28">
          <cell r="B28">
            <v>1.0080854129259087</v>
          </cell>
        </row>
        <row r="31">
          <cell r="B31">
            <v>0.91488326848249024</v>
          </cell>
        </row>
        <row r="35">
          <cell r="B35">
            <v>0.98391210515989802</v>
          </cell>
        </row>
        <row r="36">
          <cell r="B36">
            <v>0.99416955687052155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0.98468875502008035</v>
          </cell>
        </row>
        <row r="28">
          <cell r="B28">
            <v>1.0236047127889436</v>
          </cell>
        </row>
        <row r="31">
          <cell r="B31">
            <v>0.69756097560975605</v>
          </cell>
        </row>
        <row r="35">
          <cell r="B35">
            <v>1.0829938900203666</v>
          </cell>
        </row>
        <row r="36">
          <cell r="B36">
            <v>1.0087358394859944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0.97625841798881408</v>
          </cell>
        </row>
        <row r="28">
          <cell r="B28">
            <v>1.0033784870813089</v>
          </cell>
        </row>
        <row r="31">
          <cell r="B31">
            <v>0.89504373177842567</v>
          </cell>
        </row>
        <row r="35">
          <cell r="B35">
            <v>0.9925889328063241</v>
          </cell>
        </row>
        <row r="36">
          <cell r="B36">
            <v>0.99473107500058289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0.9321605977256866</v>
          </cell>
        </row>
        <row r="28">
          <cell r="B28">
            <v>1.0196422441740722</v>
          </cell>
        </row>
        <row r="31">
          <cell r="B31">
            <v>0.98209052425919896</v>
          </cell>
        </row>
        <row r="35">
          <cell r="B35">
            <v>0.89420245710224389</v>
          </cell>
        </row>
        <row r="36">
          <cell r="B36">
            <v>1.0036080869140429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0.9570746148153132</v>
          </cell>
        </row>
        <row r="28">
          <cell r="B28">
            <v>1.0410618706341286</v>
          </cell>
        </row>
        <row r="31">
          <cell r="B31">
            <v>0.78029766123316802</v>
          </cell>
        </row>
        <row r="35">
          <cell r="B35">
            <v>0.94322505121451561</v>
          </cell>
        </row>
        <row r="36">
          <cell r="B36">
            <v>1.0229803012746235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0.99364991717283269</v>
          </cell>
        </row>
        <row r="28">
          <cell r="B28">
            <v>1.0101031814273431</v>
          </cell>
        </row>
        <row r="31">
          <cell r="B31">
            <v>0.82156133828996281</v>
          </cell>
        </row>
        <row r="35">
          <cell r="B35">
            <v>1.0033557046979866</v>
          </cell>
        </row>
        <row r="36">
          <cell r="B36">
            <v>1.0039129236704327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0.992929090787806</v>
          </cell>
        </row>
        <row r="28">
          <cell r="B28">
            <v>1.0247512552752365</v>
          </cell>
        </row>
        <row r="31">
          <cell r="B31">
            <v>0.7858921161825726</v>
          </cell>
        </row>
        <row r="35">
          <cell r="B35">
            <v>0.72847457627118639</v>
          </cell>
        </row>
        <row r="36">
          <cell r="B36">
            <v>1.0052573984204016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0.9057915057915058</v>
          </cell>
        </row>
        <row r="28">
          <cell r="B28">
            <v>1.0246117084826762</v>
          </cell>
        </row>
        <row r="31">
          <cell r="B31">
            <v>0.99842643587726199</v>
          </cell>
        </row>
        <row r="35">
          <cell r="B35">
            <v>0.98617072007629947</v>
          </cell>
        </row>
        <row r="36">
          <cell r="B36">
            <v>1.0025079691245817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0.96010264721772021</v>
          </cell>
        </row>
        <row r="28">
          <cell r="B28">
            <v>1.0221912610326334</v>
          </cell>
        </row>
        <row r="31">
          <cell r="B31">
            <v>0.79656969170646985</v>
          </cell>
        </row>
        <row r="35">
          <cell r="B35">
            <v>1.0352351304443648</v>
          </cell>
        </row>
        <row r="36">
          <cell r="B36">
            <v>1.0088376625143132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1.0007805639574592</v>
          </cell>
        </row>
        <row r="28">
          <cell r="B28">
            <v>1.026684612458671</v>
          </cell>
        </row>
        <row r="31">
          <cell r="B31">
            <v>0.64313725490196083</v>
          </cell>
        </row>
        <row r="35">
          <cell r="B35">
            <v>1.2572741194486983</v>
          </cell>
        </row>
        <row r="36">
          <cell r="B36">
            <v>1.0275924105181684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1.0447134883347389</v>
          </cell>
        </row>
        <row r="28">
          <cell r="B28">
            <v>1.0282214121979631</v>
          </cell>
        </row>
        <row r="31">
          <cell r="B31">
            <v>1.0281221091581869</v>
          </cell>
        </row>
        <row r="35">
          <cell r="B35">
            <v>1.0516760726184811</v>
          </cell>
        </row>
        <row r="36">
          <cell r="B36">
            <v>1.0360829024562959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9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0.96841605319401569</v>
          </cell>
        </row>
        <row r="28">
          <cell r="B28">
            <v>1.0034754165388939</v>
          </cell>
        </row>
        <row r="31">
          <cell r="B31">
            <v>0.85639686684073102</v>
          </cell>
        </row>
        <row r="35">
          <cell r="B35">
            <v>0.84953703703703709</v>
          </cell>
        </row>
        <row r="36">
          <cell r="B36">
            <v>0.98528147037865199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0.98464738510301109</v>
          </cell>
        </row>
        <row r="28">
          <cell r="B28">
            <v>1.053225407649363</v>
          </cell>
        </row>
        <row r="31">
          <cell r="B31">
            <v>0.76472502440611778</v>
          </cell>
        </row>
        <row r="35">
          <cell r="B35">
            <v>0.81043718679799548</v>
          </cell>
        </row>
        <row r="36">
          <cell r="B36">
            <v>1.0305703351068796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0.9373151554497583</v>
          </cell>
        </row>
        <row r="28">
          <cell r="B28">
            <v>0.96923822389286973</v>
          </cell>
        </row>
        <row r="31">
          <cell r="B31">
            <v>0.83995186522262333</v>
          </cell>
        </row>
        <row r="35">
          <cell r="B35">
            <v>1.068991660348749</v>
          </cell>
        </row>
        <row r="36">
          <cell r="B36">
            <v>0.96588089330024818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0.92181800256334423</v>
          </cell>
        </row>
        <row r="28">
          <cell r="B28">
            <v>1.0038761279737489</v>
          </cell>
        </row>
        <row r="31">
          <cell r="B31">
            <v>0.77138849929873776</v>
          </cell>
        </row>
        <row r="35">
          <cell r="B35">
            <v>0.89157566302652103</v>
          </cell>
        </row>
        <row r="36">
          <cell r="B36">
            <v>0.98319395303956258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0.98565454756650017</v>
          </cell>
        </row>
        <row r="28">
          <cell r="B28">
            <v>1.0133066389398935</v>
          </cell>
        </row>
        <row r="31">
          <cell r="B31">
            <v>0.8056464811783961</v>
          </cell>
        </row>
        <row r="35">
          <cell r="B35">
            <v>0.75336927223719674</v>
          </cell>
        </row>
        <row r="36">
          <cell r="B36">
            <v>0.99461229479566893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1.031535298627082</v>
          </cell>
        </row>
        <row r="28">
          <cell r="B28">
            <v>1.0206497449087153</v>
          </cell>
        </row>
        <row r="31">
          <cell r="B31">
            <v>0.86606856776674146</v>
          </cell>
        </row>
        <row r="35">
          <cell r="B35">
            <v>0.92245881880273206</v>
          </cell>
        </row>
        <row r="36">
          <cell r="B36">
            <v>1.0139168418384841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0.91547653745263768</v>
          </cell>
        </row>
        <row r="28">
          <cell r="B28">
            <v>1.0713630631663418</v>
          </cell>
        </row>
        <row r="31">
          <cell r="B31">
            <v>0.952755905511811</v>
          </cell>
        </row>
        <row r="35">
          <cell r="B35">
            <v>0.80963045912653975</v>
          </cell>
        </row>
        <row r="36">
          <cell r="B36">
            <v>1.0346259762538936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0.92024117140396211</v>
          </cell>
        </row>
        <row r="28">
          <cell r="B28">
            <v>1.0112305319787633</v>
          </cell>
        </row>
        <row r="31">
          <cell r="B31">
            <v>0.8321943811693242</v>
          </cell>
        </row>
        <row r="35">
          <cell r="B35">
            <v>0.95836701697655613</v>
          </cell>
        </row>
        <row r="36">
          <cell r="B36">
            <v>0.99284994300679208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0.96056137190888968</v>
          </cell>
        </row>
        <row r="28">
          <cell r="B28">
            <v>1.0191554107396614</v>
          </cell>
        </row>
        <row r="31">
          <cell r="B31">
            <v>0.91821155943293353</v>
          </cell>
        </row>
        <row r="35">
          <cell r="B35">
            <v>1.3207641196013289</v>
          </cell>
        </row>
        <row r="36">
          <cell r="B36">
            <v>1.0195527994615645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0.89254658385093166</v>
          </cell>
        </row>
        <row r="28">
          <cell r="B28">
            <v>0.97436180184153942</v>
          </cell>
        </row>
        <row r="31">
          <cell r="B31">
            <v>0.88936170212765953</v>
          </cell>
        </row>
        <row r="35">
          <cell r="B35">
            <v>1.1938622754491017</v>
          </cell>
        </row>
        <row r="36">
          <cell r="B36">
            <v>0.96863520768578693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1.000463177396943</v>
          </cell>
        </row>
        <row r="28">
          <cell r="B28">
            <v>1.0109233305853256</v>
          </cell>
        </row>
        <row r="31">
          <cell r="B31">
            <v>1.6299559471365639</v>
          </cell>
        </row>
        <row r="35">
          <cell r="B35">
            <v>0.99363057324840764</v>
          </cell>
        </row>
        <row r="36">
          <cell r="B36">
            <v>1.0197608431293068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9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0.99829787234042555</v>
          </cell>
        </row>
        <row r="28">
          <cell r="B28">
            <v>1.0195062838379298</v>
          </cell>
        </row>
        <row r="31">
          <cell r="B31">
            <v>0.66280193236714979</v>
          </cell>
        </row>
        <row r="35">
          <cell r="B35">
            <v>1.1704180064308682</v>
          </cell>
        </row>
        <row r="36">
          <cell r="B36">
            <v>1.0180065686134514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0.95742052380168008</v>
          </cell>
        </row>
        <row r="28">
          <cell r="B28">
            <v>1.0078003120124805</v>
          </cell>
        </row>
        <row r="31">
          <cell r="B31">
            <v>0.9174664107485605</v>
          </cell>
        </row>
        <row r="35">
          <cell r="B35">
            <v>0.79837194740137762</v>
          </cell>
        </row>
        <row r="36">
          <cell r="B36">
            <v>0.9902997899560817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1.0242978154257691</v>
          </cell>
        </row>
        <row r="28">
          <cell r="B28">
            <v>0.98267250416229879</v>
          </cell>
        </row>
        <row r="31">
          <cell r="B31">
            <v>0.85449735449735453</v>
          </cell>
        </row>
        <row r="35">
          <cell r="B35">
            <v>0.85127478753541075</v>
          </cell>
        </row>
        <row r="36">
          <cell r="B36">
            <v>0.98476155505576723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0.97408400357462022</v>
          </cell>
        </row>
        <row r="28">
          <cell r="B28">
            <v>1.0025205025957415</v>
          </cell>
        </row>
        <row r="31">
          <cell r="B31">
            <v>0.83713080168776366</v>
          </cell>
        </row>
        <row r="35">
          <cell r="B35">
            <v>1.0453499835688465</v>
          </cell>
        </row>
        <row r="36">
          <cell r="B36">
            <v>0.99585760157911563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0.96826693905345596</v>
          </cell>
        </row>
        <row r="28">
          <cell r="B28">
            <v>1.0306347208486919</v>
          </cell>
        </row>
        <row r="31">
          <cell r="B31">
            <v>0.85820895522388063</v>
          </cell>
        </row>
        <row r="35">
          <cell r="B35">
            <v>0.83178005591798698</v>
          </cell>
        </row>
        <row r="36">
          <cell r="B36">
            <v>1.000652103032279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0.92144460314221588</v>
          </cell>
        </row>
        <row r="28">
          <cell r="B28">
            <v>1.0326589438190026</v>
          </cell>
        </row>
        <row r="31">
          <cell r="B31">
            <v>0.83537653239929943</v>
          </cell>
        </row>
        <row r="35">
          <cell r="B35">
            <v>0.73718546132339235</v>
          </cell>
        </row>
        <row r="36">
          <cell r="B36">
            <v>1.0011406055578598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0.92338267543859653</v>
          </cell>
        </row>
        <row r="28">
          <cell r="B28">
            <v>0.98623322039713512</v>
          </cell>
        </row>
        <row r="31">
          <cell r="B31">
            <v>0.66903409090909094</v>
          </cell>
        </row>
        <row r="35">
          <cell r="B35">
            <v>0.78554119547657508</v>
          </cell>
        </row>
        <row r="36">
          <cell r="B36">
            <v>0.95135087148225961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1.0210591514400744</v>
          </cell>
        </row>
        <row r="28">
          <cell r="B28">
            <v>1.0838527879771156</v>
          </cell>
        </row>
        <row r="31">
          <cell r="B31">
            <v>0.77557755775577553</v>
          </cell>
        </row>
        <row r="35">
          <cell r="B35">
            <v>0.75035704084547272</v>
          </cell>
        </row>
        <row r="36">
          <cell r="B36">
            <v>1.031115649183147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0.96994658959394475</v>
          </cell>
        </row>
        <row r="28">
          <cell r="B28">
            <v>1.0128792608976327</v>
          </cell>
        </row>
        <row r="31">
          <cell r="B31">
            <v>0.70499419279907083</v>
          </cell>
        </row>
        <row r="35">
          <cell r="B35">
            <v>0.85987149239496008</v>
          </cell>
        </row>
        <row r="36">
          <cell r="B36">
            <v>0.99456298450785974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0.96747512437810945</v>
          </cell>
        </row>
        <row r="28">
          <cell r="B28">
            <v>1.0102892728479334</v>
          </cell>
        </row>
        <row r="31">
          <cell r="B31">
            <v>0.60208838336751813</v>
          </cell>
        </row>
        <row r="35">
          <cell r="B35">
            <v>0.90067572476930902</v>
          </cell>
        </row>
        <row r="36">
          <cell r="B36">
            <v>0.99605583573309098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0.95272153923495273</v>
          </cell>
        </row>
        <row r="28">
          <cell r="B28">
            <v>1.0115802206880273</v>
          </cell>
        </row>
        <row r="31">
          <cell r="B31">
            <v>1.0027829313543599</v>
          </cell>
        </row>
        <row r="35">
          <cell r="B35">
            <v>0.94497153700189751</v>
          </cell>
        </row>
        <row r="36">
          <cell r="B36">
            <v>0.986674922390541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9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0.92574525745257452</v>
          </cell>
        </row>
        <row r="28">
          <cell r="B28">
            <v>0.99068696602727346</v>
          </cell>
        </row>
        <row r="31">
          <cell r="B31">
            <v>0.71565686862627476</v>
          </cell>
        </row>
        <row r="35">
          <cell r="B35">
            <v>1.0375165125495376</v>
          </cell>
        </row>
        <row r="36">
          <cell r="B36">
            <v>0.97305695590540831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0.95849469607678062</v>
          </cell>
        </row>
        <row r="28">
          <cell r="B28">
            <v>1.0304410974712004</v>
          </cell>
        </row>
        <row r="31">
          <cell r="B31">
            <v>0.67204301075268813</v>
          </cell>
        </row>
        <row r="35">
          <cell r="B35">
            <v>1.0364225010117361</v>
          </cell>
        </row>
        <row r="36">
          <cell r="B36">
            <v>1.0096674634633422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0.9540746287283165</v>
          </cell>
        </row>
        <row r="28">
          <cell r="B28">
            <v>1.0067140459269313</v>
          </cell>
        </row>
        <row r="31">
          <cell r="B31">
            <v>0.95783132530120485</v>
          </cell>
        </row>
        <row r="35">
          <cell r="B35">
            <v>1.0250772930264513</v>
          </cell>
        </row>
        <row r="36">
          <cell r="B36">
            <v>0.9965899618580919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0.98406603374251678</v>
          </cell>
        </row>
        <row r="28">
          <cell r="B28">
            <v>1.0346323770352877</v>
          </cell>
        </row>
        <row r="31">
          <cell r="B31">
            <v>0.86540084388185656</v>
          </cell>
        </row>
        <row r="35">
          <cell r="B35">
            <v>0.92629964481756544</v>
          </cell>
        </row>
        <row r="36">
          <cell r="B36">
            <v>1.0095794855244145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0.97692624639472603</v>
          </cell>
        </row>
        <row r="28">
          <cell r="B28">
            <v>1.0099009900990099</v>
          </cell>
        </row>
        <row r="31">
          <cell r="B31">
            <v>0.93573264781491006</v>
          </cell>
        </row>
        <row r="35">
          <cell r="B35">
            <v>1.2335143522110164</v>
          </cell>
        </row>
        <row r="36">
          <cell r="B36">
            <v>1.0147773577495214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0.98385103634218951</v>
          </cell>
        </row>
        <row r="28">
          <cell r="B28">
            <v>1.0516512213722817</v>
          </cell>
        </row>
        <row r="31">
          <cell r="B31">
            <v>0.60116851168511687</v>
          </cell>
        </row>
        <row r="35">
          <cell r="B35">
            <v>0.87930561900411142</v>
          </cell>
        </row>
        <row r="36">
          <cell r="B36">
            <v>1.0195528238018885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1.0069479444164446</v>
          </cell>
        </row>
        <row r="28">
          <cell r="B28">
            <v>1.0138971956406166</v>
          </cell>
        </row>
        <row r="31">
          <cell r="B31">
            <v>1.0503318584070795</v>
          </cell>
        </row>
        <row r="35">
          <cell r="B35">
            <v>0.8705357142857143</v>
          </cell>
        </row>
        <row r="36">
          <cell r="B36">
            <v>1.0063547743419632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1.0009996667777408</v>
          </cell>
        </row>
        <row r="28">
          <cell r="B28">
            <v>0.98826901031715708</v>
          </cell>
        </row>
        <row r="31">
          <cell r="B31">
            <v>0.92640692640692646</v>
          </cell>
        </row>
        <row r="35">
          <cell r="B35">
            <v>0.7214137214137214</v>
          </cell>
        </row>
        <row r="36">
          <cell r="B36">
            <v>0.97627626837800163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0.95531431456702853</v>
          </cell>
        </row>
        <row r="28">
          <cell r="B28">
            <v>1.0218131651556956</v>
          </cell>
        </row>
        <row r="31">
          <cell r="B31">
            <v>0.68</v>
          </cell>
        </row>
        <row r="35">
          <cell r="B35">
            <v>0.8208570903071547</v>
          </cell>
        </row>
        <row r="36">
          <cell r="B36">
            <v>0.99878051784878419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0.97798844938433038</v>
          </cell>
        </row>
        <row r="28">
          <cell r="B28">
            <v>0.98882321145228502</v>
          </cell>
        </row>
        <row r="31">
          <cell r="B31">
            <v>0.83798882681564246</v>
          </cell>
        </row>
        <row r="35">
          <cell r="B35">
            <v>0.92599711677078322</v>
          </cell>
        </row>
        <row r="36">
          <cell r="B36">
            <v>0.98050406524065492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1.000244140625</v>
          </cell>
        </row>
        <row r="28">
          <cell r="B28">
            <v>1.003151434732128</v>
          </cell>
        </row>
        <row r="31">
          <cell r="B31">
            <v>1.2383419689119171</v>
          </cell>
        </row>
        <row r="35">
          <cell r="B35">
            <v>1.1215880893300247</v>
          </cell>
        </row>
        <row r="36">
          <cell r="B36">
            <v>1.0107266113235707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9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1.0315024232633279</v>
          </cell>
        </row>
        <row r="28">
          <cell r="B28">
            <v>0.97483675744545306</v>
          </cell>
        </row>
        <row r="31">
          <cell r="B31">
            <v>1.0112359550561798</v>
          </cell>
        </row>
        <row r="35">
          <cell r="B35">
            <v>0.87857142857142856</v>
          </cell>
        </row>
        <row r="36">
          <cell r="B36">
            <v>0.98369975056557801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0.97742002927033245</v>
          </cell>
        </row>
        <row r="28">
          <cell r="B28">
            <v>1.0149809151749019</v>
          </cell>
        </row>
        <row r="31">
          <cell r="B31">
            <v>0.8602964364553769</v>
          </cell>
        </row>
        <row r="35">
          <cell r="B35">
            <v>1.0766214177978883</v>
          </cell>
        </row>
        <row r="36">
          <cell r="B36">
            <v>1.0095516158484583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1.0794442465265408</v>
          </cell>
        </row>
        <row r="28">
          <cell r="B28">
            <v>1.0228466013906627</v>
          </cell>
        </row>
        <row r="31">
          <cell r="B31">
            <v>0.7351778656126482</v>
          </cell>
        </row>
        <row r="35">
          <cell r="B35">
            <v>0.72222222222222221</v>
          </cell>
        </row>
        <row r="36">
          <cell r="B36">
            <v>1.0166808029403449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0.97350522789564509</v>
          </cell>
        </row>
        <row r="28">
          <cell r="B28">
            <v>1.0229693198105847</v>
          </cell>
        </row>
        <row r="31">
          <cell r="B31">
            <v>0.8044692737430168</v>
          </cell>
        </row>
        <row r="35">
          <cell r="B35">
            <v>0.93043478260869561</v>
          </cell>
        </row>
        <row r="36">
          <cell r="B36">
            <v>1.012228321840456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0.91654097536450474</v>
          </cell>
        </row>
        <row r="28">
          <cell r="B28">
            <v>1.0372025606957362</v>
          </cell>
        </row>
        <row r="31">
          <cell r="B31">
            <v>0.91414141414141414</v>
          </cell>
        </row>
        <row r="35">
          <cell r="B35">
            <v>1.2383720930232558</v>
          </cell>
        </row>
        <row r="36">
          <cell r="B36">
            <v>1.0191489361702128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0.91325793009609657</v>
          </cell>
        </row>
        <row r="28">
          <cell r="B28">
            <v>1.0181568618007562</v>
          </cell>
        </row>
        <row r="31">
          <cell r="B31">
            <v>0.92685370741482964</v>
          </cell>
        </row>
        <row r="35">
          <cell r="B35">
            <v>1.04293688278231</v>
          </cell>
        </row>
        <row r="36">
          <cell r="B36">
            <v>0.99577835479483512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0.95960202898145686</v>
          </cell>
        </row>
        <row r="28">
          <cell r="B28">
            <v>1.0032043204320431</v>
          </cell>
        </row>
        <row r="31">
          <cell r="B31">
            <v>0.8073012168694782</v>
          </cell>
        </row>
        <row r="35">
          <cell r="B35">
            <v>0.89977596981488028</v>
          </cell>
        </row>
        <row r="36">
          <cell r="B36">
            <v>0.98992535102140256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0.98260563380281685</v>
          </cell>
        </row>
        <row r="28">
          <cell r="B28">
            <v>1.0016304114643668</v>
          </cell>
        </row>
        <row r="31">
          <cell r="B31">
            <v>0.95519125683060113</v>
          </cell>
        </row>
        <row r="35">
          <cell r="B35">
            <v>0.99434495758718189</v>
          </cell>
        </row>
        <row r="36">
          <cell r="B36">
            <v>0.99645674143455754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0.99939654254375065</v>
          </cell>
        </row>
        <row r="28">
          <cell r="B28">
            <v>1.0195237849284644</v>
          </cell>
        </row>
        <row r="31">
          <cell r="B31">
            <v>0.83990719257540603</v>
          </cell>
        </row>
        <row r="35">
          <cell r="B35">
            <v>1.011047126571865</v>
          </cell>
        </row>
        <row r="36">
          <cell r="B36">
            <v>1.0119581244470657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1.0259423503325942</v>
          </cell>
        </row>
        <row r="28">
          <cell r="B28">
            <v>0.99483622350674372</v>
          </cell>
        </row>
        <row r="31">
          <cell r="B31">
            <v>0.88535031847133761</v>
          </cell>
        </row>
        <row r="35">
          <cell r="B35">
            <v>0.69584438549955796</v>
          </cell>
        </row>
        <row r="36">
          <cell r="B36">
            <v>0.98256735340729007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0.88868993454075795</v>
          </cell>
        </row>
        <row r="28">
          <cell r="B28">
            <v>0.95951114842802498</v>
          </cell>
        </row>
        <row r="31">
          <cell r="B31">
            <v>1.1016666666666666</v>
          </cell>
        </row>
        <row r="35">
          <cell r="B35">
            <v>1.0855465473860777</v>
          </cell>
        </row>
        <row r="36">
          <cell r="B36">
            <v>0.93428261573780647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9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0.96056647539982909</v>
          </cell>
        </row>
        <row r="28">
          <cell r="B28">
            <v>1.0219990435198469</v>
          </cell>
        </row>
        <row r="31">
          <cell r="B31">
            <v>0.93259972489683629</v>
          </cell>
        </row>
        <row r="35">
          <cell r="B35">
            <v>0.93407580384408118</v>
          </cell>
        </row>
        <row r="36">
          <cell r="B36">
            <v>1.0037372131543245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1.0299585395211983</v>
          </cell>
        </row>
        <row r="28">
          <cell r="B28">
            <v>1.0406903103229892</v>
          </cell>
        </row>
        <row r="31">
          <cell r="B31">
            <v>1.0660736975857688</v>
          </cell>
        </row>
        <row r="35">
          <cell r="B35">
            <v>0.94360902255639101</v>
          </cell>
        </row>
        <row r="36">
          <cell r="B36">
            <v>1.0325427314737488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0.9173186967184398</v>
          </cell>
        </row>
        <row r="28">
          <cell r="B28">
            <v>1.0082208628669449</v>
          </cell>
        </row>
        <row r="31">
          <cell r="B31">
            <v>0.95949367088607596</v>
          </cell>
        </row>
        <row r="35">
          <cell r="B35">
            <v>1.0879384911100431</v>
          </cell>
        </row>
        <row r="36">
          <cell r="B36">
            <v>0.99284212515650472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0.87206113733423241</v>
          </cell>
        </row>
        <row r="28">
          <cell r="B28">
            <v>0.9887399158782475</v>
          </cell>
        </row>
        <row r="31">
          <cell r="B31">
            <v>0.99222395023328147</v>
          </cell>
        </row>
        <row r="35">
          <cell r="B35">
            <v>0.92913758428960136</v>
          </cell>
        </row>
        <row r="36">
          <cell r="B36">
            <v>0.9718564972355348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0.93769174579985393</v>
          </cell>
        </row>
        <row r="28">
          <cell r="B28">
            <v>1.0686708449889641</v>
          </cell>
        </row>
        <row r="31">
          <cell r="B31">
            <v>1.0594405594405594</v>
          </cell>
        </row>
        <row r="35">
          <cell r="B35">
            <v>0.7761714855433699</v>
          </cell>
        </row>
        <row r="36">
          <cell r="B36">
            <v>1.0398710339552493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1.0093205051112448</v>
          </cell>
        </row>
        <row r="28">
          <cell r="B28">
            <v>1.029175281415116</v>
          </cell>
        </row>
        <row r="31">
          <cell r="B31">
            <v>0.99579831932773111</v>
          </cell>
        </row>
        <row r="35">
          <cell r="B35">
            <v>1.0053475935828877</v>
          </cell>
        </row>
        <row r="36">
          <cell r="B36">
            <v>1.0242984056009885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0.98473710004900927</v>
          </cell>
        </row>
        <row r="28">
          <cell r="B28">
            <v>1.0142305836951278</v>
          </cell>
        </row>
        <row r="31">
          <cell r="B31">
            <v>1.0679287305122493</v>
          </cell>
        </row>
        <row r="35">
          <cell r="B35">
            <v>0.84094427244582048</v>
          </cell>
        </row>
        <row r="36">
          <cell r="B36">
            <v>1.0039647301607153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0.91187472262727443</v>
          </cell>
        </row>
        <row r="28">
          <cell r="B28">
            <v>1.0108831255132811</v>
          </cell>
        </row>
        <row r="31">
          <cell r="B31">
            <v>1.1290322580645162</v>
          </cell>
        </row>
        <row r="35">
          <cell r="B35">
            <v>1.0752456266474959</v>
          </cell>
        </row>
        <row r="36">
          <cell r="B36">
            <v>0.99682764740984042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0.93660460781551402</v>
          </cell>
        </row>
        <row r="28">
          <cell r="B28">
            <v>1.0041495059840502</v>
          </cell>
        </row>
        <row r="31">
          <cell r="B31">
            <v>1.1254598969830758</v>
          </cell>
        </row>
        <row r="35">
          <cell r="B35">
            <v>0.97638402068262609</v>
          </cell>
        </row>
        <row r="36">
          <cell r="B36">
            <v>0.9918622177617904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0.95446446248267669</v>
          </cell>
        </row>
        <row r="28">
          <cell r="B28">
            <v>1.0016269444840873</v>
          </cell>
        </row>
        <row r="31">
          <cell r="B31">
            <v>1.8185567010309278</v>
          </cell>
        </row>
        <row r="35">
          <cell r="B35">
            <v>1.1220910623946037</v>
          </cell>
        </row>
        <row r="36">
          <cell r="B36">
            <v>1.0073270627945747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1.0279212685547461</v>
          </cell>
        </row>
        <row r="28">
          <cell r="B28">
            <v>1.0091360853926801</v>
          </cell>
        </row>
        <row r="31">
          <cell r="B31">
            <v>1.1367405978784957</v>
          </cell>
        </row>
        <row r="35">
          <cell r="B35">
            <v>1.0324810982888977</v>
          </cell>
        </row>
        <row r="36">
          <cell r="B36">
            <v>1.0208025003175616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9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0.97400141810446705</v>
          </cell>
        </row>
        <row r="28">
          <cell r="B28">
            <v>1.0419732897247207</v>
          </cell>
        </row>
        <row r="31">
          <cell r="B31">
            <v>1.0269784172661871</v>
          </cell>
        </row>
        <row r="35">
          <cell r="B35">
            <v>0.86112423240434577</v>
          </cell>
        </row>
        <row r="36">
          <cell r="B36">
            <v>1.018104576777731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0.90654831686484671</v>
          </cell>
        </row>
        <row r="28">
          <cell r="B28">
            <v>1.0274657394671149</v>
          </cell>
        </row>
        <row r="31">
          <cell r="B31">
            <v>1.0476190476190477</v>
          </cell>
        </row>
        <row r="35">
          <cell r="B35">
            <v>0.87853297442799461</v>
          </cell>
        </row>
        <row r="36">
          <cell r="B36">
            <v>1.0045664915065313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0.86038276069921638</v>
          </cell>
        </row>
        <row r="28">
          <cell r="B28">
            <v>0.98168460867035201</v>
          </cell>
        </row>
        <row r="31">
          <cell r="B31">
            <v>0.98355754857997013</v>
          </cell>
        </row>
        <row r="35">
          <cell r="B35">
            <v>1.0313576843556169</v>
          </cell>
        </row>
        <row r="36">
          <cell r="B36">
            <v>0.96457240339787109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0.9004500054878718</v>
          </cell>
        </row>
        <row r="28">
          <cell r="B28">
            <v>0.98164058164058166</v>
          </cell>
        </row>
        <row r="31">
          <cell r="B31">
            <v>0.91098484848484851</v>
          </cell>
        </row>
        <row r="35">
          <cell r="B35">
            <v>0.90764572293716883</v>
          </cell>
        </row>
        <row r="36">
          <cell r="B36">
            <v>0.96467571433555455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0.98560128537881597</v>
          </cell>
        </row>
        <row r="28">
          <cell r="B28">
            <v>1.0350977159206634</v>
          </cell>
        </row>
        <row r="31">
          <cell r="B31">
            <v>1.0776280323450136</v>
          </cell>
        </row>
        <row r="35">
          <cell r="B35">
            <v>0.5825289575289575</v>
          </cell>
        </row>
        <row r="36">
          <cell r="B36">
            <v>1.0019768215333016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0.95295629820051408</v>
          </cell>
        </row>
        <row r="28">
          <cell r="B28">
            <v>1.0151840255730957</v>
          </cell>
        </row>
        <row r="31">
          <cell r="B31">
            <v>1.0517086330935252</v>
          </cell>
        </row>
        <row r="35">
          <cell r="B35">
            <v>0.95548764283816101</v>
          </cell>
        </row>
        <row r="36">
          <cell r="B36">
            <v>0.9991116375481196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0.99908116385911183</v>
          </cell>
        </row>
        <row r="28">
          <cell r="B28">
            <v>0.97202047862840812</v>
          </cell>
        </row>
        <row r="31">
          <cell r="B31">
            <v>1.1246200607902737</v>
          </cell>
        </row>
        <row r="35">
          <cell r="B35">
            <v>0.95960832313341493</v>
          </cell>
        </row>
        <row r="36">
          <cell r="B36">
            <v>0.97807534537224761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0.89343009931245221</v>
          </cell>
        </row>
        <row r="28">
          <cell r="B28">
            <v>1.011880055342699</v>
          </cell>
        </row>
        <row r="31">
          <cell r="B31">
            <v>1.1283497884344147</v>
          </cell>
        </row>
        <row r="35">
          <cell r="B35">
            <v>1.0249221183800623</v>
          </cell>
        </row>
        <row r="36">
          <cell r="B36">
            <v>0.99620910034413068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0.93645707139786627</v>
          </cell>
        </row>
        <row r="28">
          <cell r="B28">
            <v>1.0114012761061331</v>
          </cell>
        </row>
        <row r="31">
          <cell r="B31">
            <v>1.0201207243460764</v>
          </cell>
        </row>
        <row r="35">
          <cell r="B35">
            <v>0.90965846492838776</v>
          </cell>
        </row>
        <row r="36">
          <cell r="B36">
            <v>0.99315876857834406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0.92142345354669219</v>
          </cell>
        </row>
        <row r="28">
          <cell r="B28">
            <v>1.0467829758862095</v>
          </cell>
        </row>
        <row r="31">
          <cell r="B31">
            <v>1.0424929178470255</v>
          </cell>
        </row>
        <row r="35">
          <cell r="B35">
            <v>0.97928286852589641</v>
          </cell>
        </row>
        <row r="36">
          <cell r="B36">
            <v>1.0210986424578659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0.95418281285616591</v>
          </cell>
        </row>
        <row r="28">
          <cell r="B28">
            <v>1.0451534698471796</v>
          </cell>
        </row>
        <row r="31">
          <cell r="B31">
            <v>1.1061320754716981</v>
          </cell>
        </row>
        <row r="35">
          <cell r="B35">
            <v>0.92561629153269021</v>
          </cell>
        </row>
        <row r="36">
          <cell r="B36">
            <v>0.99035902585990454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9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0.98894869034804445</v>
          </cell>
        </row>
        <row r="28">
          <cell r="B28">
            <v>1.0173448433979944</v>
          </cell>
        </row>
        <row r="31">
          <cell r="B31">
            <v>1.1831932773109244</v>
          </cell>
        </row>
        <row r="35">
          <cell r="B35">
            <v>0.98007033997655335</v>
          </cell>
        </row>
        <row r="36">
          <cell r="B36">
            <v>1.0107317922092989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0.94531045893930155</v>
          </cell>
        </row>
        <row r="28">
          <cell r="B28">
            <v>1.0062156386120038</v>
          </cell>
        </row>
        <row r="31">
          <cell r="B31">
            <v>0.93020457280385083</v>
          </cell>
        </row>
        <row r="35">
          <cell r="B35">
            <v>0.98357894736842111</v>
          </cell>
        </row>
        <row r="36">
          <cell r="B36">
            <v>0.99547285026189036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0.9697109826589595</v>
          </cell>
        </row>
        <row r="28">
          <cell r="B28">
            <v>1.0324882629107981</v>
          </cell>
        </row>
        <row r="31">
          <cell r="B31">
            <v>0.95256916996047436</v>
          </cell>
        </row>
        <row r="35">
          <cell r="B35">
            <v>0.68712394705174484</v>
          </cell>
        </row>
        <row r="36">
          <cell r="B36">
            <v>1.0054246165357277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0.96043557168784033</v>
          </cell>
        </row>
        <row r="28">
          <cell r="B28">
            <v>1.0239202534694558</v>
          </cell>
        </row>
        <row r="31">
          <cell r="B31">
            <v>1.0503067484662576</v>
          </cell>
        </row>
        <row r="35">
          <cell r="B35">
            <v>1.0213143872113677</v>
          </cell>
        </row>
        <row r="36">
          <cell r="B36">
            <v>1.0118667339161622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0.9475439449732509</v>
          </cell>
        </row>
        <row r="28">
          <cell r="B28">
            <v>1.0139426627576482</v>
          </cell>
        </row>
        <row r="31">
          <cell r="B31">
            <v>1.1024258760107817</v>
          </cell>
        </row>
        <row r="35">
          <cell r="B35">
            <v>0.82649372740803739</v>
          </cell>
        </row>
        <row r="36">
          <cell r="B36">
            <v>0.9864850203809612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0.87022554686614528</v>
          </cell>
        </row>
        <row r="28">
          <cell r="B28">
            <v>1.0167420194547199</v>
          </cell>
        </row>
        <row r="31">
          <cell r="B31">
            <v>0.7857142857142857</v>
          </cell>
        </row>
        <row r="35">
          <cell r="B35">
            <v>0.87825278810408924</v>
          </cell>
        </row>
        <row r="36">
          <cell r="B36">
            <v>0.98416909122026353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1.0144500561167227</v>
          </cell>
        </row>
        <row r="28">
          <cell r="B28">
            <v>1.0144041129282453</v>
          </cell>
        </row>
        <row r="31">
          <cell r="B31">
            <v>1.1666666666666667</v>
          </cell>
        </row>
        <row r="35">
          <cell r="B35">
            <v>1.2231320368474923</v>
          </cell>
        </row>
        <row r="36">
          <cell r="B36">
            <v>1.0289737425458179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0.98393184514180954</v>
          </cell>
        </row>
        <row r="28">
          <cell r="B28">
            <v>1.0478359908883828</v>
          </cell>
        </row>
        <row r="31">
          <cell r="B31">
            <v>1.0756880733944953</v>
          </cell>
        </row>
        <row r="35">
          <cell r="B35">
            <v>1.0143462667101402</v>
          </cell>
        </row>
        <row r="36">
          <cell r="B36">
            <v>1.0291102461487858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0.93210613177605683</v>
          </cell>
        </row>
        <row r="28">
          <cell r="B28">
            <v>1.0022203546949324</v>
          </cell>
        </row>
        <row r="31">
          <cell r="B31">
            <v>1.0172778237294366</v>
          </cell>
        </row>
        <row r="35">
          <cell r="B35">
            <v>0.86846719742013501</v>
          </cell>
        </row>
        <row r="36">
          <cell r="B36">
            <v>0.98588498364422361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0.92728162248710189</v>
          </cell>
        </row>
        <row r="28">
          <cell r="B28">
            <v>1.0183974839955938</v>
          </cell>
        </row>
        <row r="31">
          <cell r="B31">
            <v>0.95294117647058818</v>
          </cell>
        </row>
        <row r="35">
          <cell r="B35">
            <v>0.80501239328008811</v>
          </cell>
        </row>
        <row r="36">
          <cell r="B36">
            <v>0.99866018736110074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1.0405948858031717</v>
          </cell>
        </row>
        <row r="28">
          <cell r="B28">
            <v>1.03681720813995</v>
          </cell>
        </row>
        <row r="31">
          <cell r="B31">
            <v>0.97205882352941175</v>
          </cell>
        </row>
        <row r="35">
          <cell r="B35">
            <v>0.98909873628662681</v>
          </cell>
        </row>
        <row r="36">
          <cell r="B36">
            <v>1.0313755768859565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9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0.94256099505660984</v>
          </cell>
        </row>
        <row r="28">
          <cell r="B28">
            <v>0.99694553875638836</v>
          </cell>
        </row>
        <row r="31">
          <cell r="B31">
            <v>0.78926056338028172</v>
          </cell>
        </row>
        <row r="35">
          <cell r="B35">
            <v>0.89083726755949511</v>
          </cell>
        </row>
        <row r="36">
          <cell r="B36">
            <v>0.97678136033912366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0.95524763598913964</v>
          </cell>
        </row>
        <row r="28">
          <cell r="B28">
            <v>1.009101492221399</v>
          </cell>
        </row>
        <row r="31">
          <cell r="B31">
            <v>1.195258019525802</v>
          </cell>
        </row>
        <row r="35">
          <cell r="B35">
            <v>0.90790982040504398</v>
          </cell>
        </row>
        <row r="36">
          <cell r="B36">
            <v>0.99756774404178905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0.98512962231872614</v>
          </cell>
        </row>
        <row r="28">
          <cell r="B28">
            <v>0.99368278559073475</v>
          </cell>
        </row>
        <row r="31">
          <cell r="B31">
            <v>1.1469026548672567</v>
          </cell>
        </row>
        <row r="35">
          <cell r="B35">
            <v>0.96678606317160531</v>
          </cell>
        </row>
        <row r="36">
          <cell r="B36">
            <v>0.99206957625102432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0.97585272050942562</v>
          </cell>
        </row>
        <row r="28">
          <cell r="B28">
            <v>1.0311529611509505</v>
          </cell>
        </row>
        <row r="31">
          <cell r="B31">
            <v>0.98056265984654734</v>
          </cell>
        </row>
        <row r="35">
          <cell r="B35">
            <v>0.81104672485879847</v>
          </cell>
        </row>
        <row r="36">
          <cell r="B36">
            <v>0.99568096115057436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0.94668757350058796</v>
          </cell>
        </row>
        <row r="28">
          <cell r="B28">
            <v>1.0263048306496392</v>
          </cell>
        </row>
        <row r="31">
          <cell r="B31">
            <v>0.83955223880597019</v>
          </cell>
        </row>
        <row r="35">
          <cell r="B35">
            <v>1.0364312267657994</v>
          </cell>
        </row>
        <row r="36">
          <cell r="B36">
            <v>1.0053496188988307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0.871231583914434</v>
          </cell>
        </row>
        <row r="28">
          <cell r="B28">
            <v>1.0347744150045992</v>
          </cell>
        </row>
        <row r="31">
          <cell r="B31">
            <v>0.93612774451097802</v>
          </cell>
        </row>
        <row r="35">
          <cell r="B35">
            <v>0.8628357167771189</v>
          </cell>
        </row>
        <row r="36">
          <cell r="B36">
            <v>0.9894084829256975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0.97442823698901493</v>
          </cell>
        </row>
        <row r="28">
          <cell r="B28">
            <v>1.021462651923015</v>
          </cell>
        </row>
        <row r="31">
          <cell r="B31">
            <v>1.0175541252194267</v>
          </cell>
        </row>
        <row r="35">
          <cell r="B35">
            <v>0.97857248411408304</v>
          </cell>
        </row>
        <row r="36">
          <cell r="B36">
            <v>1.0114647853939382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0.97130065434508095</v>
          </cell>
        </row>
        <row r="28">
          <cell r="B28">
            <v>0.99966833726415094</v>
          </cell>
        </row>
        <row r="31">
          <cell r="B31">
            <v>0.96181046676096182</v>
          </cell>
        </row>
        <row r="35">
          <cell r="B35">
            <v>0.78705828361633778</v>
          </cell>
        </row>
        <row r="36">
          <cell r="B36">
            <v>0.9806366664084889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0.90875149342891282</v>
          </cell>
        </row>
        <row r="28">
          <cell r="B28">
            <v>1.0123454900309976</v>
          </cell>
        </row>
        <row r="31">
          <cell r="B31">
            <v>0.92411014103425115</v>
          </cell>
        </row>
        <row r="35">
          <cell r="B35">
            <v>1.0570708228283292</v>
          </cell>
        </row>
        <row r="36">
          <cell r="B36">
            <v>0.99574379482029018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0.96725885434460768</v>
          </cell>
        </row>
        <row r="28">
          <cell r="B28">
            <v>1.0218137166383763</v>
          </cell>
        </row>
        <row r="31">
          <cell r="B31">
            <v>1.0980392156862746</v>
          </cell>
        </row>
        <row r="35">
          <cell r="B35">
            <v>0.90691964285714288</v>
          </cell>
        </row>
        <row r="36">
          <cell r="B36">
            <v>1.0039673933842759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0.962192118226601</v>
          </cell>
        </row>
        <row r="28">
          <cell r="B28">
            <v>0.98414003759398494</v>
          </cell>
        </row>
        <row r="31">
          <cell r="B31">
            <v>1.153623188405797</v>
          </cell>
        </row>
        <row r="35">
          <cell r="B35">
            <v>0.96848381601362865</v>
          </cell>
        </row>
        <row r="36">
          <cell r="B36">
            <v>0.97653021872073165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9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0.87557019766852506</v>
          </cell>
        </row>
        <row r="28">
          <cell r="B28">
            <v>0.96833861023162804</v>
          </cell>
        </row>
        <row r="31">
          <cell r="B31">
            <v>1.0326530612244897</v>
          </cell>
        </row>
        <row r="35">
          <cell r="B35">
            <v>1.0429252782193958</v>
          </cell>
        </row>
        <row r="36">
          <cell r="B36">
            <v>0.95030317441445722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0.95743040873854823</v>
          </cell>
        </row>
        <row r="28">
          <cell r="B28">
            <v>1.0178126901587652</v>
          </cell>
        </row>
        <row r="31">
          <cell r="B31">
            <v>0.96829477292202226</v>
          </cell>
        </row>
        <row r="35">
          <cell r="B35">
            <v>0.96767909324360224</v>
          </cell>
        </row>
        <row r="36">
          <cell r="B36">
            <v>1.0086618143268995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0.85377358490566035</v>
          </cell>
        </row>
        <row r="28">
          <cell r="B28">
            <v>1.0190434012400353</v>
          </cell>
        </row>
        <row r="31">
          <cell r="B31">
            <v>0.63779527559055116</v>
          </cell>
        </row>
        <row r="35">
          <cell r="B35">
            <v>1.1286863270777481</v>
          </cell>
        </row>
        <row r="36">
          <cell r="B36">
            <v>0.96869154277837943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0.90462396152164404</v>
          </cell>
        </row>
        <row r="28">
          <cell r="B28">
            <v>1.005576529451899</v>
          </cell>
        </row>
        <row r="31">
          <cell r="B31">
            <v>1.0496688741721854</v>
          </cell>
        </row>
        <row r="35">
          <cell r="B35">
            <v>1.1522896698615548</v>
          </cell>
        </row>
        <row r="36">
          <cell r="B36">
            <v>0.99488764983819755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0.89702643171806162</v>
          </cell>
        </row>
        <row r="28">
          <cell r="B28">
            <v>1.0065270601033451</v>
          </cell>
        </row>
        <row r="31">
          <cell r="B31">
            <v>0.85561497326203206</v>
          </cell>
        </row>
        <row r="35">
          <cell r="B35">
            <v>1.0040983606557377</v>
          </cell>
        </row>
        <row r="36">
          <cell r="B36">
            <v>0.98334179786693754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0.92814699698327086</v>
          </cell>
        </row>
        <row r="28">
          <cell r="B28">
            <v>1.0403815358908306</v>
          </cell>
        </row>
        <row r="31">
          <cell r="B31">
            <v>1.0856844305120168</v>
          </cell>
        </row>
        <row r="35">
          <cell r="B35">
            <v>1.0584636301835486</v>
          </cell>
        </row>
        <row r="36">
          <cell r="B36">
            <v>1.0208538332729125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0.96449412712863603</v>
          </cell>
        </row>
        <row r="28">
          <cell r="B28">
            <v>0.99702352856246423</v>
          </cell>
        </row>
        <row r="31">
          <cell r="B31">
            <v>0.98980044345897999</v>
          </cell>
        </row>
        <row r="35">
          <cell r="B35">
            <v>0.74097245088354735</v>
          </cell>
        </row>
        <row r="36">
          <cell r="B36">
            <v>0.98173565714514344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0.96027657266811284</v>
          </cell>
        </row>
        <row r="28">
          <cell r="B28">
            <v>0.99791383219954644</v>
          </cell>
        </row>
        <row r="31">
          <cell r="B31">
            <v>1.0021621621621621</v>
          </cell>
        </row>
        <row r="35">
          <cell r="B35">
            <v>1.0138932743921691</v>
          </cell>
        </row>
        <row r="36">
          <cell r="B36">
            <v>0.98995932892730043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0.99544159544159549</v>
          </cell>
        </row>
        <row r="28">
          <cell r="B28">
            <v>1.0279612750503282</v>
          </cell>
        </row>
        <row r="31">
          <cell r="B31">
            <v>0.99234693877551017</v>
          </cell>
        </row>
        <row r="35">
          <cell r="B35">
            <v>0.95927352779306552</v>
          </cell>
        </row>
        <row r="36">
          <cell r="B36">
            <v>1.0166532920068616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B17">
            <v>0.98845214301576723</v>
          </cell>
        </row>
        <row r="28">
          <cell r="B28">
            <v>1.0026269702276707</v>
          </cell>
        </row>
        <row r="31">
          <cell r="B31">
            <v>1.0674157303370786</v>
          </cell>
        </row>
        <row r="35">
          <cell r="B35">
            <v>0.91795366795366795</v>
          </cell>
        </row>
        <row r="36">
          <cell r="B36">
            <v>0.99531794425087106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C13:L42"/>
  <sheetViews>
    <sheetView tabSelected="1" workbookViewId="0">
      <selection activeCell="A11" sqref="A11"/>
    </sheetView>
  </sheetViews>
  <sheetFormatPr baseColWidth="10" defaultColWidth="11.42578125" defaultRowHeight="12.75" x14ac:dyDescent="0.2"/>
  <cols>
    <col min="1" max="2" width="11.42578125" style="1"/>
    <col min="3" max="3" width="22.42578125" style="1" bestFit="1" customWidth="1"/>
    <col min="4" max="16384" width="11.42578125" style="1"/>
  </cols>
  <sheetData>
    <row r="13" spans="3:4" ht="20.100000000000001" customHeight="1" x14ac:dyDescent="0.2">
      <c r="C13" s="3" t="s">
        <v>6</v>
      </c>
      <c r="D13" s="3"/>
    </row>
    <row r="14" spans="3:4" ht="20.100000000000001" customHeight="1" x14ac:dyDescent="0.2">
      <c r="C14" s="3" t="s">
        <v>7</v>
      </c>
      <c r="D14" s="3"/>
    </row>
    <row r="15" spans="3:4" ht="20.100000000000001" customHeight="1" x14ac:dyDescent="0.2">
      <c r="C15" s="3" t="s">
        <v>8</v>
      </c>
      <c r="D15" s="3"/>
    </row>
    <row r="16" spans="3:4" ht="20.100000000000001" customHeight="1" x14ac:dyDescent="0.2">
      <c r="C16" s="3" t="s">
        <v>9</v>
      </c>
      <c r="D16" s="3"/>
    </row>
    <row r="17" spans="3:4" ht="20.100000000000001" customHeight="1" x14ac:dyDescent="0.2">
      <c r="C17" s="3" t="s">
        <v>10</v>
      </c>
      <c r="D17" s="3"/>
    </row>
    <row r="18" spans="3:4" ht="20.100000000000001" customHeight="1" x14ac:dyDescent="0.2">
      <c r="C18" s="3" t="s">
        <v>84</v>
      </c>
      <c r="D18" s="3"/>
    </row>
    <row r="19" spans="3:4" ht="20.100000000000001" customHeight="1" x14ac:dyDescent="0.2">
      <c r="C19" s="3" t="s">
        <v>37</v>
      </c>
      <c r="D19" s="3"/>
    </row>
    <row r="20" spans="3:4" ht="20.100000000000001" customHeight="1" x14ac:dyDescent="0.2">
      <c r="C20" s="3" t="s">
        <v>36</v>
      </c>
      <c r="D20" s="3"/>
    </row>
    <row r="21" spans="3:4" ht="20.100000000000001" customHeight="1" x14ac:dyDescent="0.2">
      <c r="C21" s="3" t="s">
        <v>35</v>
      </c>
      <c r="D21" s="3"/>
    </row>
    <row r="22" spans="3:4" ht="20.100000000000001" customHeight="1" x14ac:dyDescent="0.2">
      <c r="C22" s="3" t="s">
        <v>28</v>
      </c>
      <c r="D22" s="3"/>
    </row>
    <row r="23" spans="3:4" ht="20.100000000000001" customHeight="1" x14ac:dyDescent="0.2">
      <c r="C23" s="3" t="s">
        <v>27</v>
      </c>
      <c r="D23" s="3"/>
    </row>
    <row r="24" spans="3:4" ht="20.100000000000001" customHeight="1" x14ac:dyDescent="0.2">
      <c r="C24" s="3" t="s">
        <v>26</v>
      </c>
      <c r="D24" s="3"/>
    </row>
    <row r="25" spans="3:4" ht="20.100000000000001" customHeight="1" x14ac:dyDescent="0.2">
      <c r="C25" s="3" t="s">
        <v>25</v>
      </c>
      <c r="D25" s="3"/>
    </row>
    <row r="26" spans="3:4" ht="20.100000000000001" customHeight="1" x14ac:dyDescent="0.2">
      <c r="C26" s="3" t="s">
        <v>24</v>
      </c>
      <c r="D26" s="3"/>
    </row>
    <row r="27" spans="3:4" ht="20.100000000000001" customHeight="1" x14ac:dyDescent="0.2">
      <c r="C27" s="3" t="s">
        <v>23</v>
      </c>
      <c r="D27" s="3"/>
    </row>
    <row r="28" spans="3:4" ht="20.100000000000001" customHeight="1" x14ac:dyDescent="0.2">
      <c r="C28" s="3" t="s">
        <v>22</v>
      </c>
      <c r="D28" s="3"/>
    </row>
    <row r="29" spans="3:4" ht="20.100000000000001" customHeight="1" x14ac:dyDescent="0.2">
      <c r="C29" s="3" t="s">
        <v>21</v>
      </c>
      <c r="D29" s="3"/>
    </row>
    <row r="30" spans="3:4" ht="20.100000000000001" customHeight="1" x14ac:dyDescent="0.2">
      <c r="C30" s="3" t="s">
        <v>20</v>
      </c>
      <c r="D30" s="3"/>
    </row>
    <row r="31" spans="3:4" ht="20.100000000000001" customHeight="1" x14ac:dyDescent="0.2">
      <c r="C31" s="3" t="s">
        <v>11</v>
      </c>
      <c r="D31" s="3"/>
    </row>
    <row r="32" spans="3:4" ht="20.100000000000001" customHeight="1" x14ac:dyDescent="0.2">
      <c r="C32" s="3" t="s">
        <v>12</v>
      </c>
      <c r="D32" s="3"/>
    </row>
    <row r="33" spans="3:12" ht="20.100000000000001" customHeight="1" x14ac:dyDescent="0.2">
      <c r="C33" s="3" t="s">
        <v>13</v>
      </c>
      <c r="D33" s="3"/>
    </row>
    <row r="34" spans="3:12" ht="20.100000000000001" customHeight="1" x14ac:dyDescent="0.2">
      <c r="C34" s="3" t="s">
        <v>14</v>
      </c>
      <c r="D34" s="3"/>
    </row>
    <row r="35" spans="3:12" ht="20.100000000000001" customHeight="1" x14ac:dyDescent="0.2">
      <c r="C35" s="3" t="s">
        <v>15</v>
      </c>
      <c r="D35" s="3"/>
    </row>
    <row r="36" spans="3:12" ht="20.100000000000001" customHeight="1" x14ac:dyDescent="0.2">
      <c r="C36" s="3" t="s">
        <v>16</v>
      </c>
      <c r="D36" s="3"/>
    </row>
    <row r="37" spans="3:12" ht="20.100000000000001" customHeight="1" x14ac:dyDescent="0.2">
      <c r="C37" s="3" t="s">
        <v>17</v>
      </c>
      <c r="D37" s="3"/>
    </row>
    <row r="38" spans="3:12" ht="20.100000000000001" customHeight="1" x14ac:dyDescent="0.2">
      <c r="C38" s="3" t="s">
        <v>18</v>
      </c>
      <c r="D38" s="3"/>
    </row>
    <row r="39" spans="3:12" ht="20.100000000000001" customHeight="1" x14ac:dyDescent="0.2">
      <c r="C39" s="3" t="s">
        <v>19</v>
      </c>
      <c r="D39" s="3"/>
    </row>
    <row r="41" spans="3:12" x14ac:dyDescent="0.2">
      <c r="C41" s="10" t="s">
        <v>29</v>
      </c>
      <c r="D41" s="11"/>
      <c r="E41" s="11"/>
      <c r="F41" s="11"/>
      <c r="G41" s="11"/>
      <c r="H41" s="11"/>
      <c r="I41" s="11"/>
      <c r="J41" s="11"/>
      <c r="K41" s="11"/>
      <c r="L41" s="11"/>
    </row>
    <row r="42" spans="3:12" x14ac:dyDescent="0.2">
      <c r="C42" s="10" t="s">
        <v>30</v>
      </c>
      <c r="D42" s="11"/>
      <c r="E42" s="11"/>
      <c r="F42" s="11"/>
    </row>
  </sheetData>
  <mergeCells count="2">
    <mergeCell ref="C42:F42"/>
    <mergeCell ref="C41:L41"/>
  </mergeCells>
  <phoneticPr fontId="0" type="noConversion"/>
  <hyperlinks>
    <hyperlink ref="C13" location="'Serie Total'!A1" display="Serie Total" xr:uid="{00000000-0004-0000-0000-000000000000}"/>
    <hyperlink ref="C14" location="'Serie civil'!A1" display="Serie Civil" xr:uid="{00000000-0004-0000-0000-000001000000}"/>
    <hyperlink ref="C15" location="'Serie penal'!A1" display="Serie Penal" xr:uid="{00000000-0004-0000-0000-000002000000}"/>
    <hyperlink ref="C16" location="'Serie contencioso'!A1" display="Serie Contencioso" xr:uid="{00000000-0004-0000-0000-000003000000}"/>
    <hyperlink ref="C17" location="'Serie social'!A1" display="Serie Social" xr:uid="{00000000-0004-0000-0000-000004000000}"/>
    <hyperlink ref="C31" location="'2009'!A1" display="Año 2009" xr:uid="{00000000-0004-0000-0000-000005000000}"/>
    <hyperlink ref="C32" location="'2008'!A1" display="Año 2008" xr:uid="{00000000-0004-0000-0000-000006000000}"/>
    <hyperlink ref="C33" location="'2007'!A1" display="Año 2007" xr:uid="{00000000-0004-0000-0000-000007000000}"/>
    <hyperlink ref="C34" location="'2006'!A1" display="Año 2006" xr:uid="{00000000-0004-0000-0000-000008000000}"/>
    <hyperlink ref="C35" location="'2005'!A1" display="Año 2005" xr:uid="{00000000-0004-0000-0000-000009000000}"/>
    <hyperlink ref="C36" location="'2004'!A1" display="Año 2004" xr:uid="{00000000-0004-0000-0000-00000A000000}"/>
    <hyperlink ref="C37" location="'2003'!A1" display="Año 2003" xr:uid="{00000000-0004-0000-0000-00000B000000}"/>
    <hyperlink ref="C38" location="'2002'!A1" display="Año 2002" xr:uid="{00000000-0004-0000-0000-00000C000000}"/>
    <hyperlink ref="C39" location="'2001'!A1" display="Año 2001" xr:uid="{00000000-0004-0000-0000-00000D000000}"/>
    <hyperlink ref="C13:D13" location="'Serie total'!A1" display="Serie Total" xr:uid="{00000000-0004-0000-0000-00000E000000}"/>
    <hyperlink ref="C30" location="'2010'!A1" display="Año 2010" xr:uid="{00000000-0004-0000-0000-00000F000000}"/>
    <hyperlink ref="C29" location="'2011'!A1" display="Año 2011" xr:uid="{00000000-0004-0000-0000-000010000000}"/>
    <hyperlink ref="C28" location="'2012'!A1" display="Año 2012" xr:uid="{00000000-0004-0000-0000-000011000000}"/>
    <hyperlink ref="C27" location="'2013'!A1" display="Año 2013" xr:uid="{00000000-0004-0000-0000-000012000000}"/>
    <hyperlink ref="C26" location="'2014'!A1" display="Año 2014" xr:uid="{00000000-0004-0000-0000-000013000000}"/>
    <hyperlink ref="C25" location="'2015'!A1" display="Año 2015" xr:uid="{00000000-0004-0000-0000-000014000000}"/>
    <hyperlink ref="C24" location="'2016'!A1" display="Año 2016" xr:uid="{00000000-0004-0000-0000-000015000000}"/>
    <hyperlink ref="C23" location="'2017'!A1" display="Año 2017" xr:uid="{00000000-0004-0000-0000-000016000000}"/>
    <hyperlink ref="C22" location="'2018'!A1" display="Año 2017" xr:uid="{00000000-0004-0000-0000-000017000000}"/>
    <hyperlink ref="C21" location="'2019'!A1" display="Año 2019" xr:uid="{00000000-0004-0000-0000-000018000000}"/>
    <hyperlink ref="C20" location="'2020'!A1" display="Año 2020" xr:uid="{00000000-0004-0000-0000-000019000000}"/>
    <hyperlink ref="C19" location="'2021'!A1" display="Año 2021" xr:uid="{5439EFC7-40C5-4F1E-9F49-2B41A47BC000}"/>
    <hyperlink ref="C18" location="'2022'!A1" display="Año 2022" xr:uid="{11580722-C172-4D76-89C6-8327B6C5A22E}"/>
  </hyperlinks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2CCED-C2EE-458F-A0C1-7AB7DC4423B1}">
  <dimension ref="B7:G58"/>
  <sheetViews>
    <sheetView workbookViewId="0">
      <selection activeCell="A2" sqref="A2"/>
    </sheetView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f>[151]Tasas!$B$36</f>
        <v>0.95165719992509834</v>
      </c>
      <c r="D9" s="6">
        <f>[151]Tasas!$B$17</f>
        <v>0.95350803043110732</v>
      </c>
      <c r="E9" s="6">
        <f>[151]Tasas!$B$28</f>
        <v>0.9835730700485148</v>
      </c>
      <c r="F9" s="6">
        <f>[151]Tasas!$B$31</f>
        <v>0.77191129883843712</v>
      </c>
      <c r="G9" s="6">
        <f>[151]Tasas!$B$35</f>
        <v>0.93079470198675496</v>
      </c>
    </row>
    <row r="10" spans="2:7" s="8" customFormat="1" ht="20.100000000000001" customHeight="1" thickBot="1" x14ac:dyDescent="0.25">
      <c r="B10" s="5" t="s">
        <v>40</v>
      </c>
      <c r="C10" s="6">
        <f>[152]Tasas!$B$36</f>
        <v>0.95621067586766795</v>
      </c>
      <c r="D10" s="6">
        <f>[152]Tasas!$B$17</f>
        <v>0.96067857544096169</v>
      </c>
      <c r="E10" s="6">
        <f>[152]Tasas!$B$28</f>
        <v>0.96464188576609244</v>
      </c>
      <c r="F10" s="6">
        <f>[152]Tasas!$B$31</f>
        <v>0.88696537678207743</v>
      </c>
      <c r="G10" s="6">
        <f>[152]Tasas!$B$35</f>
        <v>0.90247989276139406</v>
      </c>
    </row>
    <row r="11" spans="2:7" s="8" customFormat="1" ht="20.100000000000001" customHeight="1" thickBot="1" x14ac:dyDescent="0.25">
      <c r="B11" s="5" t="s">
        <v>41</v>
      </c>
      <c r="C11" s="6">
        <f>[153]Tasas!$B$36</f>
        <v>0.98873581599793769</v>
      </c>
      <c r="D11" s="6">
        <f>[153]Tasas!$B$17</f>
        <v>0.97439183205709223</v>
      </c>
      <c r="E11" s="6">
        <f>[153]Tasas!$B$28</f>
        <v>1.0194471023300318</v>
      </c>
      <c r="F11" s="6">
        <f>[153]Tasas!$B$31</f>
        <v>0.91383975026014563</v>
      </c>
      <c r="G11" s="6">
        <f>[153]Tasas!$B$35</f>
        <v>0.83744821872410935</v>
      </c>
    </row>
    <row r="12" spans="2:7" s="8" customFormat="1" ht="20.100000000000001" customHeight="1" thickBot="1" x14ac:dyDescent="0.25">
      <c r="B12" s="5" t="s">
        <v>42</v>
      </c>
      <c r="C12" s="6">
        <f>[154]Tasas!$B$36</f>
        <v>0.98882507982085843</v>
      </c>
      <c r="D12" s="6">
        <f>[154]Tasas!$B$17</f>
        <v>1.0459629500174763</v>
      </c>
      <c r="E12" s="6">
        <f>[154]Tasas!$B$28</f>
        <v>0.98268586077696707</v>
      </c>
      <c r="F12" s="6">
        <f>[154]Tasas!$B$31</f>
        <v>1.077022933794894</v>
      </c>
      <c r="G12" s="6">
        <f>[154]Tasas!$B$35</f>
        <v>0.67881625146296609</v>
      </c>
    </row>
    <row r="13" spans="2:7" s="8" customFormat="1" ht="20.100000000000001" customHeight="1" thickBot="1" x14ac:dyDescent="0.25">
      <c r="B13" s="5" t="s">
        <v>43</v>
      </c>
      <c r="C13" s="6">
        <f>[155]Tasas!$B$36</f>
        <v>0.9242573283494</v>
      </c>
      <c r="D13" s="6">
        <f>[155]Tasas!$B$17</f>
        <v>0.92886900169726894</v>
      </c>
      <c r="E13" s="6">
        <f>[155]Tasas!$B$28</f>
        <v>0.93634155694746257</v>
      </c>
      <c r="F13" s="6">
        <f>[155]Tasas!$B$31</f>
        <v>0.98826979472140764</v>
      </c>
      <c r="G13" s="6">
        <f>[155]Tasas!$B$35</f>
        <v>0.68211920529801329</v>
      </c>
    </row>
    <row r="14" spans="2:7" s="8" customFormat="1" ht="20.100000000000001" customHeight="1" thickBot="1" x14ac:dyDescent="0.25">
      <c r="B14" s="5" t="s">
        <v>44</v>
      </c>
      <c r="C14" s="6">
        <f>[156]Tasas!$B$36</f>
        <v>0.95457701227528546</v>
      </c>
      <c r="D14" s="6">
        <f>[156]Tasas!$B$17</f>
        <v>0.93020884607270937</v>
      </c>
      <c r="E14" s="6">
        <f>[156]Tasas!$B$28</f>
        <v>0.98034155817796975</v>
      </c>
      <c r="F14" s="6">
        <f>[156]Tasas!$B$31</f>
        <v>0.99617590822179736</v>
      </c>
      <c r="G14" s="6">
        <f>[156]Tasas!$B$35</f>
        <v>0.89032258064516134</v>
      </c>
    </row>
    <row r="15" spans="2:7" s="8" customFormat="1" ht="20.100000000000001" customHeight="1" thickBot="1" x14ac:dyDescent="0.25">
      <c r="B15" s="5" t="s">
        <v>45</v>
      </c>
      <c r="C15" s="6">
        <f>[157]Tasas!$B$36</f>
        <v>0.93199648404701929</v>
      </c>
      <c r="D15" s="6">
        <f>[157]Tasas!$B$17</f>
        <v>0.87790204279565986</v>
      </c>
      <c r="E15" s="6">
        <f>[157]Tasas!$B$28</f>
        <v>0.98585740307051783</v>
      </c>
      <c r="F15" s="6">
        <f>[157]Tasas!$B$31</f>
        <v>0.86856875584658555</v>
      </c>
      <c r="G15" s="6">
        <f>[157]Tasas!$B$35</f>
        <v>0.87376038595550787</v>
      </c>
    </row>
    <row r="16" spans="2:7" s="8" customFormat="1" ht="20.100000000000001" customHeight="1" thickBot="1" x14ac:dyDescent="0.25">
      <c r="B16" s="5" t="s">
        <v>46</v>
      </c>
      <c r="C16" s="6">
        <f>[158]Tasas!$B$36</f>
        <v>0.93902620565682671</v>
      </c>
      <c r="D16" s="6">
        <f>[158]Tasas!$B$17</f>
        <v>0.87872720311965336</v>
      </c>
      <c r="E16" s="6">
        <f>[158]Tasas!$B$28</f>
        <v>0.98704352890754643</v>
      </c>
      <c r="F16" s="6">
        <f>[158]Tasas!$B$31</f>
        <v>0.91642848976792046</v>
      </c>
      <c r="G16" s="6">
        <f>[158]Tasas!$B$35</f>
        <v>0.95075174350149438</v>
      </c>
    </row>
    <row r="17" spans="2:7" s="8" customFormat="1" ht="20.100000000000001" customHeight="1" thickBot="1" x14ac:dyDescent="0.25">
      <c r="B17" s="5" t="s">
        <v>47</v>
      </c>
      <c r="C17" s="6">
        <f>[159]Tasas!$B$36</f>
        <v>0.94610347926563099</v>
      </c>
      <c r="D17" s="6">
        <f>[159]Tasas!$B$17</f>
        <v>0.94430206731590638</v>
      </c>
      <c r="E17" s="6">
        <f>[159]Tasas!$B$28</f>
        <v>0.95024763619990993</v>
      </c>
      <c r="F17" s="6">
        <f>[159]Tasas!$B$31</f>
        <v>0.9854586129753915</v>
      </c>
      <c r="G17" s="6">
        <f>[159]Tasas!$B$35</f>
        <v>0.91776798825256978</v>
      </c>
    </row>
    <row r="18" spans="2:7" s="8" customFormat="1" ht="20.100000000000001" customHeight="1" thickBot="1" x14ac:dyDescent="0.25">
      <c r="B18" s="5" t="s">
        <v>48</v>
      </c>
      <c r="C18" s="6">
        <f>[160]Tasas!$B$36</f>
        <v>0.99516155045427668</v>
      </c>
      <c r="D18" s="6">
        <f>[160]Tasas!$B$17</f>
        <v>1.0541650371529137</v>
      </c>
      <c r="E18" s="6">
        <f>[160]Tasas!$B$28</f>
        <v>0.96384008148714029</v>
      </c>
      <c r="F18" s="6">
        <f>[160]Tasas!$B$31</f>
        <v>0.94534412955465585</v>
      </c>
      <c r="G18" s="6">
        <f>[160]Tasas!$B$35</f>
        <v>0.84170999422299253</v>
      </c>
    </row>
    <row r="19" spans="2:7" s="8" customFormat="1" ht="20.100000000000001" customHeight="1" thickBot="1" x14ac:dyDescent="0.25">
      <c r="B19" s="5" t="s">
        <v>49</v>
      </c>
      <c r="C19" s="6">
        <f>[161]Tasas!$B$36</f>
        <v>0.95791268081162495</v>
      </c>
      <c r="D19" s="6">
        <f>[161]Tasas!$B$17</f>
        <v>0.94561065832606539</v>
      </c>
      <c r="E19" s="6">
        <f>[161]Tasas!$B$28</f>
        <v>0.98012395811070741</v>
      </c>
      <c r="F19" s="6">
        <f>[161]Tasas!$B$31</f>
        <v>0.94401933145388639</v>
      </c>
      <c r="G19" s="6">
        <f>[161]Tasas!$B$35</f>
        <v>0.85003536901674137</v>
      </c>
    </row>
    <row r="20" spans="2:7" s="8" customFormat="1" ht="20.100000000000001" customHeight="1" thickBot="1" x14ac:dyDescent="0.25">
      <c r="B20" s="5" t="s">
        <v>50</v>
      </c>
      <c r="C20" s="6">
        <f>[162]Tasas!$B$36</f>
        <v>0.96503827171439549</v>
      </c>
      <c r="D20" s="6">
        <f>[162]Tasas!$B$17</f>
        <v>0.96272000573538374</v>
      </c>
      <c r="E20" s="6">
        <f>[162]Tasas!$B$28</f>
        <v>0.97592418177537088</v>
      </c>
      <c r="F20" s="6">
        <f>[162]Tasas!$B$31</f>
        <v>1.0897782585181179</v>
      </c>
      <c r="G20" s="6">
        <f>[162]Tasas!$B$35</f>
        <v>0.82945344129554655</v>
      </c>
    </row>
    <row r="21" spans="2:7" s="8" customFormat="1" ht="20.100000000000001" customHeight="1" thickBot="1" x14ac:dyDescent="0.25">
      <c r="B21" s="5" t="s">
        <v>51</v>
      </c>
      <c r="C21" s="6">
        <f>[163]Tasas!$B$36</f>
        <v>0.96795677541601788</v>
      </c>
      <c r="D21" s="6">
        <f>[163]Tasas!$B$17</f>
        <v>0.93723057974839452</v>
      </c>
      <c r="E21" s="6">
        <f>[163]Tasas!$B$28</f>
        <v>1.0023149026602407</v>
      </c>
      <c r="F21" s="6">
        <f>[163]Tasas!$B$31</f>
        <v>0.80055401662049863</v>
      </c>
      <c r="G21" s="6">
        <f>[163]Tasas!$B$35</f>
        <v>0.95980861244019133</v>
      </c>
    </row>
    <row r="22" spans="2:7" s="8" customFormat="1" ht="15" thickBot="1" x14ac:dyDescent="0.25">
      <c r="B22" s="5" t="s">
        <v>52</v>
      </c>
      <c r="C22" s="6">
        <f>[164]Tasas!$B$36</f>
        <v>0.9635227751461658</v>
      </c>
      <c r="D22" s="6">
        <f>[164]Tasas!$B$17</f>
        <v>0.92382742570712495</v>
      </c>
      <c r="E22" s="6">
        <f>[164]Tasas!$B$28</f>
        <v>1.009495217482371</v>
      </c>
      <c r="F22" s="6">
        <f>[164]Tasas!$B$31</f>
        <v>1.0759974667511083</v>
      </c>
      <c r="G22" s="6">
        <f>[164]Tasas!$B$35</f>
        <v>0.66335630320227001</v>
      </c>
    </row>
    <row r="23" spans="2:7" s="8" customFormat="1" ht="20.100000000000001" customHeight="1" thickBot="1" x14ac:dyDescent="0.25">
      <c r="B23" s="5" t="s">
        <v>53</v>
      </c>
      <c r="C23" s="6">
        <f>[165]Tasas!$B$36</f>
        <v>0.97475715324126078</v>
      </c>
      <c r="D23" s="6">
        <f>[165]Tasas!$B$17</f>
        <v>0.96528031576639139</v>
      </c>
      <c r="E23" s="6">
        <f>[165]Tasas!$B$28</f>
        <v>0.98112703471175311</v>
      </c>
      <c r="F23" s="6">
        <f>[165]Tasas!$B$31</f>
        <v>1.0111754966887416</v>
      </c>
      <c r="G23" s="6">
        <f>[165]Tasas!$B$35</f>
        <v>0.98316118392500651</v>
      </c>
    </row>
    <row r="24" spans="2:7" s="8" customFormat="1" ht="20.100000000000001" customHeight="1" thickBot="1" x14ac:dyDescent="0.25">
      <c r="B24" s="5" t="s">
        <v>54</v>
      </c>
      <c r="C24" s="6">
        <f>[166]Tasas!$B$36</f>
        <v>0.94675472087503865</v>
      </c>
      <c r="D24" s="6">
        <f>[166]Tasas!$B$17</f>
        <v>0.93387603541845188</v>
      </c>
      <c r="E24" s="6">
        <f>[166]Tasas!$B$28</f>
        <v>0.98676553407171019</v>
      </c>
      <c r="F24" s="6">
        <f>[166]Tasas!$B$31</f>
        <v>1.0453648915187377</v>
      </c>
      <c r="G24" s="6">
        <f>[166]Tasas!$B$35</f>
        <v>0.63002461033634127</v>
      </c>
    </row>
    <row r="25" spans="2:7" s="8" customFormat="1" ht="20.100000000000001" customHeight="1" thickBot="1" x14ac:dyDescent="0.25">
      <c r="B25" s="5" t="s">
        <v>55</v>
      </c>
      <c r="C25" s="6">
        <f>[167]Tasas!$B$36</f>
        <v>0.97471880135743705</v>
      </c>
      <c r="D25" s="6">
        <f>[167]Tasas!$B$17</f>
        <v>0.93472449771492627</v>
      </c>
      <c r="E25" s="6">
        <f>[167]Tasas!$B$28</f>
        <v>1.001743970315399</v>
      </c>
      <c r="F25" s="6">
        <f>[167]Tasas!$B$31</f>
        <v>1.0657578187650361</v>
      </c>
      <c r="G25" s="6">
        <f>[167]Tasas!$B$35</f>
        <v>0.92728237791932056</v>
      </c>
    </row>
    <row r="26" spans="2:7" s="8" customFormat="1" ht="20.100000000000001" customHeight="1" thickBot="1" x14ac:dyDescent="0.25">
      <c r="B26" s="5" t="s">
        <v>56</v>
      </c>
      <c r="C26" s="6">
        <f>[168]Tasas!$B$36</f>
        <v>0.99371875304505553</v>
      </c>
      <c r="D26" s="6">
        <f>[168]Tasas!$B$17</f>
        <v>1.0188629584137567</v>
      </c>
      <c r="E26" s="6">
        <f>[168]Tasas!$B$28</f>
        <v>1.004312159709619</v>
      </c>
      <c r="F26" s="6">
        <f>[168]Tasas!$B$31</f>
        <v>1.0158699059561129</v>
      </c>
      <c r="G26" s="6">
        <f>[168]Tasas!$B$35</f>
        <v>0.75314717326619363</v>
      </c>
    </row>
    <row r="27" spans="2:7" ht="15" thickBot="1" x14ac:dyDescent="0.25">
      <c r="B27" s="5" t="s">
        <v>57</v>
      </c>
      <c r="C27" s="6">
        <f>[169]Tasas!$B$36</f>
        <v>0.95433706216761416</v>
      </c>
      <c r="D27" s="6">
        <f>[169]Tasas!$B$17</f>
        <v>0.91045526955646849</v>
      </c>
      <c r="E27" s="6">
        <f>[169]Tasas!$B$28</f>
        <v>0.9996049616812831</v>
      </c>
      <c r="F27" s="6">
        <f>[169]Tasas!$B$31</f>
        <v>1.3037974683544304</v>
      </c>
      <c r="G27" s="6">
        <f>[169]Tasas!$B$35</f>
        <v>0.84022556390977443</v>
      </c>
    </row>
    <row r="28" spans="2:7" ht="15" thickBot="1" x14ac:dyDescent="0.25">
      <c r="B28" s="5" t="s">
        <v>58</v>
      </c>
      <c r="C28" s="6">
        <f>[170]Tasas!$B$36</f>
        <v>0.97437925296162653</v>
      </c>
      <c r="D28" s="6">
        <f>[170]Tasas!$B$17</f>
        <v>0.95067485762970272</v>
      </c>
      <c r="E28" s="6">
        <f>[170]Tasas!$B$28</f>
        <v>0.99200199950012502</v>
      </c>
      <c r="F28" s="6">
        <f>[170]Tasas!$B$31</f>
        <v>1.0955534531693472</v>
      </c>
      <c r="G28" s="6">
        <f>[170]Tasas!$B$35</f>
        <v>0.90608899297423884</v>
      </c>
    </row>
    <row r="29" spans="2:7" ht="15" thickBot="1" x14ac:dyDescent="0.25">
      <c r="B29" s="5" t="s">
        <v>59</v>
      </c>
      <c r="C29" s="6">
        <f>[171]Tasas!$B$36</f>
        <v>0.95905476369092268</v>
      </c>
      <c r="D29" s="6">
        <f>[171]Tasas!$B$17</f>
        <v>0.9309932338977982</v>
      </c>
      <c r="E29" s="6">
        <f>[171]Tasas!$B$28</f>
        <v>0.98403159340659341</v>
      </c>
      <c r="F29" s="6">
        <f>[171]Tasas!$B$31</f>
        <v>0.94840116279069764</v>
      </c>
      <c r="G29" s="6">
        <f>[171]Tasas!$B$35</f>
        <v>0.92903045543447893</v>
      </c>
    </row>
    <row r="30" spans="2:7" ht="15" thickBot="1" x14ac:dyDescent="0.25">
      <c r="B30" s="5" t="s">
        <v>60</v>
      </c>
      <c r="C30" s="6">
        <f>[172]Tasas!$B$36</f>
        <v>0.96794842485483057</v>
      </c>
      <c r="D30" s="6">
        <f>[172]Tasas!$B$17</f>
        <v>0.94055663726949945</v>
      </c>
      <c r="E30" s="6">
        <f>[172]Tasas!$B$28</f>
        <v>0.99629317607413648</v>
      </c>
      <c r="F30" s="6">
        <f>[172]Tasas!$B$31</f>
        <v>0.91315789473684206</v>
      </c>
      <c r="G30" s="6">
        <f>[172]Tasas!$B$35</f>
        <v>0.8820224719101124</v>
      </c>
    </row>
    <row r="31" spans="2:7" ht="15" thickBot="1" x14ac:dyDescent="0.25">
      <c r="B31" s="5" t="s">
        <v>61</v>
      </c>
      <c r="C31" s="6">
        <f>[173]Tasas!$B$36</f>
        <v>0.98671530540435737</v>
      </c>
      <c r="D31" s="6">
        <f>[173]Tasas!$B$17</f>
        <v>0.99761164606869357</v>
      </c>
      <c r="E31" s="6">
        <f>[173]Tasas!$B$28</f>
        <v>0.99765295358649786</v>
      </c>
      <c r="F31" s="6">
        <f>[173]Tasas!$B$31</f>
        <v>1.0663232453316163</v>
      </c>
      <c r="G31" s="6">
        <f>[173]Tasas!$B$35</f>
        <v>0.7681312863949179</v>
      </c>
    </row>
    <row r="32" spans="2:7" ht="15" thickBot="1" x14ac:dyDescent="0.25">
      <c r="B32" s="5" t="s">
        <v>62</v>
      </c>
      <c r="C32" s="6">
        <f>[174]Tasas!$B$36</f>
        <v>1.0187077061502989</v>
      </c>
      <c r="D32" s="6">
        <f>[174]Tasas!$B$17</f>
        <v>1.0056535030780183</v>
      </c>
      <c r="E32" s="6">
        <f>[174]Tasas!$B$28</f>
        <v>1.0003325988442191</v>
      </c>
      <c r="F32" s="6">
        <f>[174]Tasas!$B$31</f>
        <v>1.2732123799359658</v>
      </c>
      <c r="G32" s="6">
        <f>[174]Tasas!$B$35</f>
        <v>1.1337650736936131</v>
      </c>
    </row>
    <row r="33" spans="2:7" ht="15" thickBot="1" x14ac:dyDescent="0.25">
      <c r="B33" s="5" t="s">
        <v>63</v>
      </c>
      <c r="C33" s="6">
        <f>[175]Tasas!$B$36</f>
        <v>0.93657609878693127</v>
      </c>
      <c r="D33" s="6">
        <f>[175]Tasas!$B$17</f>
        <v>0.91895443925233644</v>
      </c>
      <c r="E33" s="6">
        <f>[175]Tasas!$B$28</f>
        <v>0.96901046447585826</v>
      </c>
      <c r="F33" s="6">
        <f>[175]Tasas!$B$31</f>
        <v>0.98974358974358978</v>
      </c>
      <c r="G33" s="6">
        <f>[175]Tasas!$B$35</f>
        <v>0.681881051175657</v>
      </c>
    </row>
    <row r="34" spans="2:7" ht="15" thickBot="1" x14ac:dyDescent="0.25">
      <c r="B34" s="5" t="s">
        <v>64</v>
      </c>
      <c r="C34" s="6">
        <f>[176]Tasas!$B$36</f>
        <v>0.97792695829836918</v>
      </c>
      <c r="D34" s="6">
        <f>[176]Tasas!$B$17</f>
        <v>0.97437864375575334</v>
      </c>
      <c r="E34" s="6">
        <f>[176]Tasas!$B$28</f>
        <v>0.963542562338779</v>
      </c>
      <c r="F34" s="6">
        <f>[176]Tasas!$B$31</f>
        <v>1.3501440922190202</v>
      </c>
      <c r="G34" s="6">
        <f>[176]Tasas!$B$35</f>
        <v>0.95607613469985364</v>
      </c>
    </row>
    <row r="35" spans="2:7" ht="15" thickBot="1" x14ac:dyDescent="0.25">
      <c r="B35" s="5" t="s">
        <v>65</v>
      </c>
      <c r="C35" s="6">
        <f>[177]Tasas!$B$36</f>
        <v>0.97444252401326037</v>
      </c>
      <c r="D35" s="6">
        <f>[177]Tasas!$B$17</f>
        <v>0.94228731692115919</v>
      </c>
      <c r="E35" s="6">
        <f>[177]Tasas!$B$28</f>
        <v>0.99098802789106699</v>
      </c>
      <c r="F35" s="6">
        <f>[177]Tasas!$B$31</f>
        <v>1.0980615735461801</v>
      </c>
      <c r="G35" s="6">
        <f>[177]Tasas!$B$35</f>
        <v>1.0236667718523194</v>
      </c>
    </row>
    <row r="36" spans="2:7" ht="15" thickBot="1" x14ac:dyDescent="0.25">
      <c r="B36" s="5" t="s">
        <v>32</v>
      </c>
      <c r="C36" s="6">
        <f>[178]Tasas!$B$36</f>
        <v>0.96645380982635232</v>
      </c>
      <c r="D36" s="6">
        <f>[178]Tasas!$B$17</f>
        <v>0.91914700669149063</v>
      </c>
      <c r="E36" s="6">
        <f>[178]Tasas!$B$28</f>
        <v>1.0134048942559581</v>
      </c>
      <c r="F36" s="6">
        <f>[178]Tasas!$B$31</f>
        <v>0.95780376207422468</v>
      </c>
      <c r="G36" s="6">
        <f>[178]Tasas!$B$35</f>
        <v>0.95027325094776227</v>
      </c>
    </row>
    <row r="37" spans="2:7" ht="15" thickBot="1" x14ac:dyDescent="0.25">
      <c r="B37" s="5" t="s">
        <v>66</v>
      </c>
      <c r="C37" s="6">
        <f>[179]Tasas!$B$36</f>
        <v>0.9867016599250531</v>
      </c>
      <c r="D37" s="6">
        <f>[179]Tasas!$B$17</f>
        <v>0.99046731253676024</v>
      </c>
      <c r="E37" s="6">
        <f>[179]Tasas!$B$28</f>
        <v>1.0008381081762108</v>
      </c>
      <c r="F37" s="6">
        <f>[179]Tasas!$B$31</f>
        <v>0.75307765151515149</v>
      </c>
      <c r="G37" s="6">
        <f>[179]Tasas!$B$35</f>
        <v>0.92171942594245693</v>
      </c>
    </row>
    <row r="38" spans="2:7" ht="15" thickBot="1" x14ac:dyDescent="0.25">
      <c r="B38" s="5" t="s">
        <v>33</v>
      </c>
      <c r="C38" s="6">
        <f>[180]Tasas!$B$36</f>
        <v>0.93289258956083776</v>
      </c>
      <c r="D38" s="6">
        <f>[180]Tasas!$B$17</f>
        <v>0.87026074791777308</v>
      </c>
      <c r="E38" s="6">
        <f>[180]Tasas!$B$28</f>
        <v>0.98169432524082467</v>
      </c>
      <c r="F38" s="6">
        <f>[180]Tasas!$B$31</f>
        <v>1.0063873275421564</v>
      </c>
      <c r="G38" s="6">
        <f>[180]Tasas!$B$35</f>
        <v>0.90198823858863064</v>
      </c>
    </row>
    <row r="39" spans="2:7" ht="15" thickBot="1" x14ac:dyDescent="0.25">
      <c r="B39" s="5" t="s">
        <v>34</v>
      </c>
      <c r="C39" s="6">
        <f>[181]Tasas!$B$36</f>
        <v>0.96969449436366606</v>
      </c>
      <c r="D39" s="6">
        <f>[181]Tasas!$B$17</f>
        <v>0.9346574162245499</v>
      </c>
      <c r="E39" s="6">
        <f>[181]Tasas!$B$28</f>
        <v>0.99358151476251599</v>
      </c>
      <c r="F39" s="6">
        <f>[181]Tasas!$B$31</f>
        <v>0.95884773662551437</v>
      </c>
      <c r="G39" s="6">
        <f>[181]Tasas!$B$35</f>
        <v>0.96072013093289688</v>
      </c>
    </row>
    <row r="40" spans="2:7" ht="15" thickBot="1" x14ac:dyDescent="0.25">
      <c r="B40" s="5" t="s">
        <v>67</v>
      </c>
      <c r="C40" s="6">
        <f>[182]Tasas!$B$36</f>
        <v>0.99254039391437665</v>
      </c>
      <c r="D40" s="6">
        <f>[182]Tasas!$B$17</f>
        <v>0.975886524822695</v>
      </c>
      <c r="E40" s="6">
        <f>[182]Tasas!$B$28</f>
        <v>1.0134535888763623</v>
      </c>
      <c r="F40" s="6">
        <f>[182]Tasas!$B$31</f>
        <v>0.94830132939438705</v>
      </c>
      <c r="G40" s="6">
        <f>[182]Tasas!$B$35</f>
        <v>0.9983866630814735</v>
      </c>
    </row>
    <row r="41" spans="2:7" ht="15" thickBot="1" x14ac:dyDescent="0.25">
      <c r="B41" s="5" t="s">
        <v>31</v>
      </c>
      <c r="C41" s="6">
        <f>[183]Tasas!$B$36</f>
        <v>0.97702756243972821</v>
      </c>
      <c r="D41" s="6">
        <f>[183]Tasas!$B$17</f>
        <v>0.97780603936287358</v>
      </c>
      <c r="E41" s="6">
        <f>[183]Tasas!$B$28</f>
        <v>0.9815965409490589</v>
      </c>
      <c r="F41" s="6">
        <f>[183]Tasas!$B$31</f>
        <v>0.84075573549257765</v>
      </c>
      <c r="G41" s="6">
        <f>[183]Tasas!$B$35</f>
        <v>0.99630086313193589</v>
      </c>
    </row>
    <row r="42" spans="2:7" ht="15" thickBot="1" x14ac:dyDescent="0.25">
      <c r="B42" s="5" t="s">
        <v>68</v>
      </c>
      <c r="C42" s="6">
        <f>[184]Tasas!$B$36</f>
        <v>1.002247191011236</v>
      </c>
      <c r="D42" s="6">
        <f>[184]Tasas!$B$17</f>
        <v>1.0657584490437517</v>
      </c>
      <c r="E42" s="6">
        <f>[184]Tasas!$B$28</f>
        <v>0.96756102925005494</v>
      </c>
      <c r="F42" s="6">
        <f>[184]Tasas!$B$31</f>
        <v>1.1137254901960785</v>
      </c>
      <c r="G42" s="6">
        <f>[184]Tasas!$B$35</f>
        <v>0.84548335974643418</v>
      </c>
    </row>
    <row r="43" spans="2:7" ht="15" thickBot="1" x14ac:dyDescent="0.25">
      <c r="B43" s="5" t="s">
        <v>69</v>
      </c>
      <c r="C43" s="6">
        <f>[185]Tasas!$B$36</f>
        <v>0.98954310470536766</v>
      </c>
      <c r="D43" s="6">
        <f>[185]Tasas!$B$17</f>
        <v>1.0020213181689552</v>
      </c>
      <c r="E43" s="6">
        <f>[185]Tasas!$B$28</f>
        <v>0.99830149707242966</v>
      </c>
      <c r="F43" s="6">
        <f>[185]Tasas!$B$31</f>
        <v>1.1561151079136691</v>
      </c>
      <c r="G43" s="6">
        <f>[185]Tasas!$B$35</f>
        <v>0.85853764374050767</v>
      </c>
    </row>
    <row r="44" spans="2:7" ht="15" thickBot="1" x14ac:dyDescent="0.25">
      <c r="B44" s="5" t="s">
        <v>70</v>
      </c>
      <c r="C44" s="6">
        <f>[186]Tasas!$B$36</f>
        <v>0.98452001839205738</v>
      </c>
      <c r="D44" s="6">
        <f>[186]Tasas!$B$17</f>
        <v>0.9564042832253391</v>
      </c>
      <c r="E44" s="6">
        <f>[186]Tasas!$B$28</f>
        <v>1.011730946236171</v>
      </c>
      <c r="F44" s="6">
        <f>[186]Tasas!$B$31</f>
        <v>1.1178743961352657</v>
      </c>
      <c r="G44" s="6">
        <f>[186]Tasas!$B$35</f>
        <v>0.94538288288288286</v>
      </c>
    </row>
    <row r="45" spans="2:7" ht="15" thickBot="1" x14ac:dyDescent="0.25">
      <c r="B45" s="5" t="s">
        <v>71</v>
      </c>
      <c r="C45" s="6">
        <f>[187]Tasas!$B$36</f>
        <v>0.97023024803016833</v>
      </c>
      <c r="D45" s="6">
        <f>[187]Tasas!$B$17</f>
        <v>0.9762725613465828</v>
      </c>
      <c r="E45" s="6">
        <f>[187]Tasas!$B$28</f>
        <v>0.9861704970603955</v>
      </c>
      <c r="F45" s="6">
        <f>[187]Tasas!$B$31</f>
        <v>1.0183276059564719</v>
      </c>
      <c r="G45" s="6">
        <f>[187]Tasas!$B$35</f>
        <v>0.78366111951588502</v>
      </c>
    </row>
    <row r="46" spans="2:7" ht="15" thickBot="1" x14ac:dyDescent="0.25">
      <c r="B46" s="5" t="s">
        <v>72</v>
      </c>
      <c r="C46" s="6">
        <f>[188]Tasas!$B$36</f>
        <v>0.96121268884635747</v>
      </c>
      <c r="D46" s="6">
        <f>[188]Tasas!$B$17</f>
        <v>0.94228409878913955</v>
      </c>
      <c r="E46" s="6">
        <f>[188]Tasas!$B$28</f>
        <v>0.99355939106970115</v>
      </c>
      <c r="F46" s="6">
        <f>[188]Tasas!$B$31</f>
        <v>0.90941898231685314</v>
      </c>
      <c r="G46" s="6">
        <f>[188]Tasas!$B$35</f>
        <v>0.82469793159942661</v>
      </c>
    </row>
    <row r="47" spans="2:7" ht="15" thickBot="1" x14ac:dyDescent="0.25">
      <c r="B47" s="5" t="s">
        <v>5</v>
      </c>
      <c r="C47" s="6">
        <f>[189]Tasas!$B$36</f>
        <v>0.98415583016988395</v>
      </c>
      <c r="D47" s="6">
        <f>[189]Tasas!$B$17</f>
        <v>0.97745369206269384</v>
      </c>
      <c r="E47" s="6">
        <f>[189]Tasas!$B$28</f>
        <v>1.0099918561673871</v>
      </c>
      <c r="F47" s="6">
        <f>[189]Tasas!$B$31</f>
        <v>1.0181818181818181</v>
      </c>
      <c r="G47" s="6">
        <f>[189]Tasas!$B$35</f>
        <v>0.86727646070561881</v>
      </c>
    </row>
    <row r="48" spans="2:7" ht="15" thickBot="1" x14ac:dyDescent="0.25">
      <c r="B48" s="5" t="s">
        <v>73</v>
      </c>
      <c r="C48" s="6">
        <f>[190]Tasas!$B$36</f>
        <v>0.98128647551382897</v>
      </c>
      <c r="D48" s="6">
        <f>[190]Tasas!$B$17</f>
        <v>0.98646125116713357</v>
      </c>
      <c r="E48" s="6">
        <f>[190]Tasas!$B$28</f>
        <v>0.98809523809523814</v>
      </c>
      <c r="F48" s="6">
        <f>[190]Tasas!$B$31</f>
        <v>1.0916905444126075</v>
      </c>
      <c r="G48" s="6">
        <f>[190]Tasas!$B$35</f>
        <v>0.82996432818073718</v>
      </c>
    </row>
    <row r="49" spans="2:7" ht="15" thickBot="1" x14ac:dyDescent="0.25">
      <c r="B49" s="5" t="s">
        <v>74</v>
      </c>
      <c r="C49" s="6">
        <f>[191]Tasas!$B$36</f>
        <v>0.992396331738437</v>
      </c>
      <c r="D49" s="6">
        <f>[191]Tasas!$B$17</f>
        <v>0.97241574387394847</v>
      </c>
      <c r="E49" s="6">
        <f>[191]Tasas!$B$28</f>
        <v>1.0157029536858526</v>
      </c>
      <c r="F49" s="6">
        <f>[191]Tasas!$B$31</f>
        <v>1.1650076569678407</v>
      </c>
      <c r="G49" s="6">
        <f>[191]Tasas!$B$35</f>
        <v>0.84042179261862915</v>
      </c>
    </row>
    <row r="50" spans="2:7" ht="15" thickBot="1" x14ac:dyDescent="0.25">
      <c r="B50" s="5" t="s">
        <v>75</v>
      </c>
      <c r="C50" s="6">
        <f>[192]Tasas!$B$36</f>
        <v>0.96918319471102576</v>
      </c>
      <c r="D50" s="6">
        <f>[192]Tasas!$B$17</f>
        <v>0.976566757493188</v>
      </c>
      <c r="E50" s="6">
        <f>[192]Tasas!$B$28</f>
        <v>0.97315966054864811</v>
      </c>
      <c r="F50" s="6">
        <f>[192]Tasas!$B$31</f>
        <v>0.46408839779005523</v>
      </c>
      <c r="G50" s="6">
        <f>[192]Tasas!$B$35</f>
        <v>1.0652173913043479</v>
      </c>
    </row>
    <row r="51" spans="2:7" ht="15" thickBot="1" x14ac:dyDescent="0.25">
      <c r="B51" s="5" t="s">
        <v>76</v>
      </c>
      <c r="C51" s="6">
        <f>[193]Tasas!$B$36</f>
        <v>0.97520801191442308</v>
      </c>
      <c r="D51" s="6">
        <f>[193]Tasas!$B$17</f>
        <v>0.93935041701312771</v>
      </c>
      <c r="E51" s="6">
        <f>[193]Tasas!$B$28</f>
        <v>1.0038569159797324</v>
      </c>
      <c r="F51" s="6">
        <f>[193]Tasas!$B$31</f>
        <v>0.99264705882352944</v>
      </c>
      <c r="G51" s="6">
        <f>[193]Tasas!$B$35</f>
        <v>0.88455103179029559</v>
      </c>
    </row>
    <row r="52" spans="2:7" ht="15" thickBot="1" x14ac:dyDescent="0.25">
      <c r="B52" s="5" t="s">
        <v>77</v>
      </c>
      <c r="C52" s="6">
        <f>[194]Tasas!$B$36</f>
        <v>0.95723410163843381</v>
      </c>
      <c r="D52" s="6">
        <f>[194]Tasas!$B$17</f>
        <v>0.96469939327082188</v>
      </c>
      <c r="E52" s="6">
        <f>[194]Tasas!$B$28</f>
        <v>0.99614705410178195</v>
      </c>
      <c r="F52" s="6">
        <f>[194]Tasas!$B$31</f>
        <v>0.73317307692307687</v>
      </c>
      <c r="G52" s="6">
        <f>[194]Tasas!$B$35</f>
        <v>0.62593984962406013</v>
      </c>
    </row>
    <row r="53" spans="2:7" ht="15" thickBot="1" x14ac:dyDescent="0.25">
      <c r="B53" s="5" t="s">
        <v>78</v>
      </c>
      <c r="C53" s="6">
        <f>[195]Tasas!$B$36</f>
        <v>0.92568377617308384</v>
      </c>
      <c r="D53" s="6">
        <f>[195]Tasas!$B$17</f>
        <v>0.90494739747875963</v>
      </c>
      <c r="E53" s="6">
        <f>[195]Tasas!$B$28</f>
        <v>0.94617337900082676</v>
      </c>
      <c r="F53" s="6">
        <f>[195]Tasas!$B$31</f>
        <v>0.81212524983344436</v>
      </c>
      <c r="G53" s="6">
        <f>[195]Tasas!$B$35</f>
        <v>0.96624136097820312</v>
      </c>
    </row>
    <row r="54" spans="2:7" ht="15" thickBot="1" x14ac:dyDescent="0.25">
      <c r="B54" s="5" t="s">
        <v>79</v>
      </c>
      <c r="C54" s="6">
        <f>[196]Tasas!$B$36</f>
        <v>0.97424168674625944</v>
      </c>
      <c r="D54" s="6">
        <f>[196]Tasas!$B$17</f>
        <v>0.94181941322266416</v>
      </c>
      <c r="E54" s="6">
        <f>[196]Tasas!$B$28</f>
        <v>0.99287147026676437</v>
      </c>
      <c r="F54" s="6">
        <f>[196]Tasas!$B$31</f>
        <v>1.3019094872951436</v>
      </c>
      <c r="G54" s="6">
        <f>[196]Tasas!$B$35</f>
        <v>0.93269537480063791</v>
      </c>
    </row>
    <row r="55" spans="2:7" ht="15" thickBot="1" x14ac:dyDescent="0.25">
      <c r="B55" s="5" t="s">
        <v>80</v>
      </c>
      <c r="C55" s="6">
        <f>[197]Tasas!$B$36</f>
        <v>1.0051636350551447</v>
      </c>
      <c r="D55" s="6">
        <f>[197]Tasas!$B$17</f>
        <v>1.0098629926699159</v>
      </c>
      <c r="E55" s="6">
        <f>[197]Tasas!$B$28</f>
        <v>1.0200544274649361</v>
      </c>
      <c r="F55" s="6">
        <f>[197]Tasas!$B$31</f>
        <v>0.81470588235294117</v>
      </c>
      <c r="G55" s="6">
        <f>[197]Tasas!$B$35</f>
        <v>0.9539612058892265</v>
      </c>
    </row>
    <row r="56" spans="2:7" ht="15" thickBot="1" x14ac:dyDescent="0.25">
      <c r="B56" s="5" t="s">
        <v>81</v>
      </c>
      <c r="C56" s="6">
        <f>[198]Tasas!$B$36</f>
        <v>0.98709931062226852</v>
      </c>
      <c r="D56" s="6">
        <f>[198]Tasas!$B$17</f>
        <v>0.95728850923119313</v>
      </c>
      <c r="E56" s="6">
        <f>[198]Tasas!$B$28</f>
        <v>1.0034268675315428</v>
      </c>
      <c r="F56" s="6">
        <f>[198]Tasas!$B$31</f>
        <v>1.5111464968152866</v>
      </c>
      <c r="G56" s="6">
        <f>[198]Tasas!$B$35</f>
        <v>0.96951894423158791</v>
      </c>
    </row>
    <row r="57" spans="2:7" ht="15" thickBot="1" x14ac:dyDescent="0.25">
      <c r="B57" s="5" t="s">
        <v>82</v>
      </c>
      <c r="C57" s="6">
        <f>[199]Tasas!$B$36</f>
        <v>0.94716837704294943</v>
      </c>
      <c r="D57" s="6">
        <f>[199]Tasas!$B$17</f>
        <v>0.92835746380429351</v>
      </c>
      <c r="E57" s="6">
        <f>[199]Tasas!$B$28</f>
        <v>0.96936814739459709</v>
      </c>
      <c r="F57" s="6">
        <f>[199]Tasas!$B$31</f>
        <v>1.2560240963855422</v>
      </c>
      <c r="G57" s="6">
        <f>[199]Tasas!$B$35</f>
        <v>0.82626427406199021</v>
      </c>
    </row>
    <row r="58" spans="2:7" ht="15" thickBot="1" x14ac:dyDescent="0.25">
      <c r="B58" s="5" t="s">
        <v>83</v>
      </c>
      <c r="C58" s="6">
        <f>[200]Tasas!$B$36</f>
        <v>1.0090955245200541</v>
      </c>
      <c r="D58" s="6">
        <f>[200]Tasas!$B$17</f>
        <v>1.0165603883125536</v>
      </c>
      <c r="E58" s="6">
        <f>[200]Tasas!$B$28</f>
        <v>1.0178055675044553</v>
      </c>
      <c r="F58" s="6">
        <f>[200]Tasas!$B$31</f>
        <v>0.87700780174391924</v>
      </c>
      <c r="G58" s="6">
        <f>[200]Tasas!$B$35</f>
        <v>0.9233217592592593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DC798-13F3-48B2-9C18-8F5B6AAD4DA1}">
  <dimension ref="B7:G58"/>
  <sheetViews>
    <sheetView workbookViewId="0">
      <selection activeCell="A2" sqref="A2"/>
    </sheetView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f>[201]Tasas!$B$36</f>
        <v>1.0279427174292699</v>
      </c>
      <c r="D9" s="6">
        <f>[201]Tasas!$B$17</f>
        <v>0.96467806980948412</v>
      </c>
      <c r="E9" s="6">
        <f>[201]Tasas!$B$28</f>
        <v>1.025407005426739</v>
      </c>
      <c r="F9" s="6">
        <f>[201]Tasas!$B$31</f>
        <v>1.5626865671641792</v>
      </c>
      <c r="G9" s="6">
        <f>[201]Tasas!$B$35</f>
        <v>0.98230690711126234</v>
      </c>
    </row>
    <row r="10" spans="2:7" s="8" customFormat="1" ht="20.100000000000001" customHeight="1" thickBot="1" x14ac:dyDescent="0.25">
      <c r="B10" s="5" t="s">
        <v>40</v>
      </c>
      <c r="C10" s="6">
        <f>[202]Tasas!$B$36</f>
        <v>0.92494694710828163</v>
      </c>
      <c r="D10" s="6">
        <f>[202]Tasas!$B$17</f>
        <v>0.88605632055576233</v>
      </c>
      <c r="E10" s="6">
        <f>[202]Tasas!$B$28</f>
        <v>0.95557318524395085</v>
      </c>
      <c r="F10" s="6">
        <f>[202]Tasas!$B$31</f>
        <v>0.90167865707434047</v>
      </c>
      <c r="G10" s="6">
        <f>[202]Tasas!$B$35</f>
        <v>0.96532012195121952</v>
      </c>
    </row>
    <row r="11" spans="2:7" s="8" customFormat="1" ht="20.100000000000001" customHeight="1" thickBot="1" x14ac:dyDescent="0.25">
      <c r="B11" s="5" t="s">
        <v>41</v>
      </c>
      <c r="C11" s="6">
        <f>[203]Tasas!$B$36</f>
        <v>0.97415403543529688</v>
      </c>
      <c r="D11" s="6">
        <f>[203]Tasas!$B$17</f>
        <v>0.92892943627865066</v>
      </c>
      <c r="E11" s="6">
        <f>[203]Tasas!$B$28</f>
        <v>1.0153131333951699</v>
      </c>
      <c r="F11" s="6">
        <f>[203]Tasas!$B$31</f>
        <v>0.95463709677419351</v>
      </c>
      <c r="G11" s="6">
        <f>[203]Tasas!$B$35</f>
        <v>0.91172692237107722</v>
      </c>
    </row>
    <row r="12" spans="2:7" s="8" customFormat="1" ht="20.100000000000001" customHeight="1" thickBot="1" x14ac:dyDescent="0.25">
      <c r="B12" s="5" t="s">
        <v>42</v>
      </c>
      <c r="C12" s="6">
        <f>[204]Tasas!$B$36</f>
        <v>0.97941806516895058</v>
      </c>
      <c r="D12" s="6">
        <f>[204]Tasas!$B$17</f>
        <v>0.91901573878318066</v>
      </c>
      <c r="E12" s="6">
        <f>[204]Tasas!$B$28</f>
        <v>1.0133135227072785</v>
      </c>
      <c r="F12" s="6">
        <f>[204]Tasas!$B$31</f>
        <v>1.0763535400277648</v>
      </c>
      <c r="G12" s="6">
        <f>[204]Tasas!$B$35</f>
        <v>1</v>
      </c>
    </row>
    <row r="13" spans="2:7" s="8" customFormat="1" ht="20.100000000000001" customHeight="1" thickBot="1" x14ac:dyDescent="0.25">
      <c r="B13" s="5" t="s">
        <v>43</v>
      </c>
      <c r="C13" s="6">
        <f>[205]Tasas!$B$36</f>
        <v>0.93748046264457641</v>
      </c>
      <c r="D13" s="6">
        <f>[205]Tasas!$B$17</f>
        <v>0.95250582750582746</v>
      </c>
      <c r="E13" s="6">
        <f>[205]Tasas!$B$28</f>
        <v>0.92644159684573679</v>
      </c>
      <c r="F13" s="6">
        <f>[205]Tasas!$B$31</f>
        <v>0.90384615384615385</v>
      </c>
      <c r="G13" s="6">
        <f>[205]Tasas!$B$35</f>
        <v>0.93548387096774188</v>
      </c>
    </row>
    <row r="14" spans="2:7" s="8" customFormat="1" ht="20.100000000000001" customHeight="1" thickBot="1" x14ac:dyDescent="0.25">
      <c r="B14" s="5" t="s">
        <v>44</v>
      </c>
      <c r="C14" s="6">
        <f>[206]Tasas!$B$36</f>
        <v>0.94387747522913978</v>
      </c>
      <c r="D14" s="6">
        <f>[206]Tasas!$B$17</f>
        <v>0.88124401259066654</v>
      </c>
      <c r="E14" s="6">
        <f>[206]Tasas!$B$28</f>
        <v>0.99354510952395181</v>
      </c>
      <c r="F14" s="6">
        <f>[206]Tasas!$B$31</f>
        <v>1.037525354969574</v>
      </c>
      <c r="G14" s="6">
        <f>[206]Tasas!$B$35</f>
        <v>0.96483516483516485</v>
      </c>
    </row>
    <row r="15" spans="2:7" s="8" customFormat="1" ht="20.100000000000001" customHeight="1" thickBot="1" x14ac:dyDescent="0.25">
      <c r="B15" s="5" t="s">
        <v>45</v>
      </c>
      <c r="C15" s="6">
        <f>[207]Tasas!$B$36</f>
        <v>0.9438238333286787</v>
      </c>
      <c r="D15" s="6">
        <f>[207]Tasas!$B$17</f>
        <v>0.86672607138653979</v>
      </c>
      <c r="E15" s="6">
        <f>[207]Tasas!$B$28</f>
        <v>1.0091845217344668</v>
      </c>
      <c r="F15" s="6">
        <f>[207]Tasas!$B$31</f>
        <v>0.83325761017719213</v>
      </c>
      <c r="G15" s="6">
        <f>[207]Tasas!$B$35</f>
        <v>0.93726672408842948</v>
      </c>
    </row>
    <row r="16" spans="2:7" s="8" customFormat="1" ht="20.100000000000001" customHeight="1" thickBot="1" x14ac:dyDescent="0.25">
      <c r="B16" s="5" t="s">
        <v>46</v>
      </c>
      <c r="C16" s="6">
        <f>[208]Tasas!$B$36</f>
        <v>0.95610244004559097</v>
      </c>
      <c r="D16" s="6">
        <f>[208]Tasas!$B$17</f>
        <v>0.87638920134983123</v>
      </c>
      <c r="E16" s="6">
        <f>[208]Tasas!$B$28</f>
        <v>1.0088721781712882</v>
      </c>
      <c r="F16" s="6">
        <f>[208]Tasas!$B$31</f>
        <v>1.0772613811957685</v>
      </c>
      <c r="G16" s="6">
        <f>[208]Tasas!$B$35</f>
        <v>1.0271041369472182</v>
      </c>
    </row>
    <row r="17" spans="2:7" s="8" customFormat="1" ht="20.100000000000001" customHeight="1" thickBot="1" x14ac:dyDescent="0.25">
      <c r="B17" s="5" t="s">
        <v>47</v>
      </c>
      <c r="C17" s="6">
        <f>[209]Tasas!$B$36</f>
        <v>0.97202993690771156</v>
      </c>
      <c r="D17" s="6">
        <f>[209]Tasas!$B$17</f>
        <v>0.98594216203809959</v>
      </c>
      <c r="E17" s="6">
        <f>[209]Tasas!$B$28</f>
        <v>0.98150719164769251</v>
      </c>
      <c r="F17" s="6">
        <f>[209]Tasas!$B$31</f>
        <v>0.90179514255543824</v>
      </c>
      <c r="G17" s="6">
        <f>[209]Tasas!$B$35</f>
        <v>0.84676544994578962</v>
      </c>
    </row>
    <row r="18" spans="2:7" s="8" customFormat="1" ht="20.100000000000001" customHeight="1" thickBot="1" x14ac:dyDescent="0.25">
      <c r="B18" s="5" t="s">
        <v>48</v>
      </c>
      <c r="C18" s="6">
        <f>[210]Tasas!$B$36</f>
        <v>0.91577586903255337</v>
      </c>
      <c r="D18" s="6">
        <f>[210]Tasas!$B$17</f>
        <v>0.85894032090499828</v>
      </c>
      <c r="E18" s="6">
        <f>[210]Tasas!$B$28</f>
        <v>0.96072354333370902</v>
      </c>
      <c r="F18" s="6">
        <f>[210]Tasas!$B$31</f>
        <v>0.97887323943661975</v>
      </c>
      <c r="G18" s="6">
        <f>[210]Tasas!$B$35</f>
        <v>1.0134064594759293</v>
      </c>
    </row>
    <row r="19" spans="2:7" s="8" customFormat="1" ht="20.100000000000001" customHeight="1" thickBot="1" x14ac:dyDescent="0.25">
      <c r="B19" s="5" t="s">
        <v>49</v>
      </c>
      <c r="C19" s="6">
        <f>[211]Tasas!$B$36</f>
        <v>0.95531544344074104</v>
      </c>
      <c r="D19" s="6">
        <f>[211]Tasas!$B$17</f>
        <v>0.89437134502923976</v>
      </c>
      <c r="E19" s="6">
        <f>[211]Tasas!$B$28</f>
        <v>1.0098334636794406</v>
      </c>
      <c r="F19" s="6">
        <f>[211]Tasas!$B$31</f>
        <v>0.92057117358322182</v>
      </c>
      <c r="G19" s="6">
        <f>[211]Tasas!$B$35</f>
        <v>0.87170821011125199</v>
      </c>
    </row>
    <row r="20" spans="2:7" s="8" customFormat="1" ht="20.100000000000001" customHeight="1" thickBot="1" x14ac:dyDescent="0.25">
      <c r="B20" s="5" t="s">
        <v>50</v>
      </c>
      <c r="C20" s="6">
        <f>[212]Tasas!$B$36</f>
        <v>0.97762707665629311</v>
      </c>
      <c r="D20" s="6">
        <f>[212]Tasas!$B$17</f>
        <v>0.9200233281493001</v>
      </c>
      <c r="E20" s="6">
        <f>[212]Tasas!$B$28</f>
        <v>1.0243449116392445</v>
      </c>
      <c r="F20" s="6">
        <f>[212]Tasas!$B$31</f>
        <v>1.1707677165354331</v>
      </c>
      <c r="G20" s="6">
        <f>[212]Tasas!$B$35</f>
        <v>0.86699875466998755</v>
      </c>
    </row>
    <row r="21" spans="2:7" s="8" customFormat="1" ht="20.100000000000001" customHeight="1" thickBot="1" x14ac:dyDescent="0.25">
      <c r="B21" s="5" t="s">
        <v>51</v>
      </c>
      <c r="C21" s="6">
        <f>[213]Tasas!$B$36</f>
        <v>0.95752813348855259</v>
      </c>
      <c r="D21" s="6">
        <f>[213]Tasas!$B$17</f>
        <v>0.89332617292388805</v>
      </c>
      <c r="E21" s="6">
        <f>[213]Tasas!$B$28</f>
        <v>0.99444688002338155</v>
      </c>
      <c r="F21" s="6">
        <f>[213]Tasas!$B$31</f>
        <v>1.0102622576966933</v>
      </c>
      <c r="G21" s="6">
        <f>[213]Tasas!$B$35</f>
        <v>1.0495014245014245</v>
      </c>
    </row>
    <row r="22" spans="2:7" s="8" customFormat="1" ht="15" thickBot="1" x14ac:dyDescent="0.25">
      <c r="B22" s="5" t="s">
        <v>52</v>
      </c>
      <c r="C22" s="6">
        <f>[214]Tasas!$B$36</f>
        <v>0.96829730273113024</v>
      </c>
      <c r="D22" s="6">
        <f>[214]Tasas!$B$17</f>
        <v>0.90091670952712311</v>
      </c>
      <c r="E22" s="6">
        <f>[214]Tasas!$B$28</f>
        <v>1.0097904375836984</v>
      </c>
      <c r="F22" s="6">
        <f>[214]Tasas!$B$31</f>
        <v>1.3346704871060171</v>
      </c>
      <c r="G22" s="6">
        <f>[214]Tasas!$B$35</f>
        <v>0.80975938835169781</v>
      </c>
    </row>
    <row r="23" spans="2:7" s="8" customFormat="1" ht="20.100000000000001" customHeight="1" thickBot="1" x14ac:dyDescent="0.25">
      <c r="B23" s="5" t="s">
        <v>53</v>
      </c>
      <c r="C23" s="6">
        <f>[215]Tasas!$B$36</f>
        <v>0.8969046228491846</v>
      </c>
      <c r="D23" s="6">
        <f>[215]Tasas!$B$17</f>
        <v>0.82791855748765109</v>
      </c>
      <c r="E23" s="6">
        <f>[215]Tasas!$B$28</f>
        <v>0.95570733303341382</v>
      </c>
      <c r="F23" s="6">
        <f>[215]Tasas!$B$31</f>
        <v>0.88803746275010642</v>
      </c>
      <c r="G23" s="6">
        <f>[215]Tasas!$B$35</f>
        <v>0.95362233938683849</v>
      </c>
    </row>
    <row r="24" spans="2:7" s="8" customFormat="1" ht="20.100000000000001" customHeight="1" thickBot="1" x14ac:dyDescent="0.25">
      <c r="B24" s="5" t="s">
        <v>54</v>
      </c>
      <c r="C24" s="6">
        <f>[216]Tasas!$B$36</f>
        <v>0.90502194549351844</v>
      </c>
      <c r="D24" s="6">
        <f>[216]Tasas!$B$17</f>
        <v>0.85191434133679433</v>
      </c>
      <c r="E24" s="6">
        <f>[216]Tasas!$B$28</f>
        <v>0.94532163742690056</v>
      </c>
      <c r="F24" s="6">
        <f>[216]Tasas!$B$31</f>
        <v>1.0023529411764707</v>
      </c>
      <c r="G24" s="6">
        <f>[216]Tasas!$B$35</f>
        <v>0.86710963455149503</v>
      </c>
    </row>
    <row r="25" spans="2:7" s="8" customFormat="1" ht="20.100000000000001" customHeight="1" thickBot="1" x14ac:dyDescent="0.25">
      <c r="B25" s="5" t="s">
        <v>55</v>
      </c>
      <c r="C25" s="6">
        <f>[217]Tasas!$B$36</f>
        <v>0.99110682037594411</v>
      </c>
      <c r="D25" s="6">
        <f>[217]Tasas!$B$17</f>
        <v>0.9544047801440172</v>
      </c>
      <c r="E25" s="6">
        <f>[217]Tasas!$B$28</f>
        <v>1.0132215096201282</v>
      </c>
      <c r="F25" s="6">
        <f>[217]Tasas!$B$31</f>
        <v>1.1036682615629985</v>
      </c>
      <c r="G25" s="6">
        <f>[217]Tasas!$B$35</f>
        <v>0.97270899166906066</v>
      </c>
    </row>
    <row r="26" spans="2:7" s="8" customFormat="1" ht="20.100000000000001" customHeight="1" thickBot="1" x14ac:dyDescent="0.25">
      <c r="B26" s="5" t="s">
        <v>56</v>
      </c>
      <c r="C26" s="6">
        <f>[218]Tasas!$B$36</f>
        <v>0.96016697721656652</v>
      </c>
      <c r="D26" s="6">
        <f>[218]Tasas!$B$17</f>
        <v>0.91187358916478556</v>
      </c>
      <c r="E26" s="6">
        <f>[218]Tasas!$B$28</f>
        <v>0.99938155259747907</v>
      </c>
      <c r="F26" s="6">
        <f>[218]Tasas!$B$31</f>
        <v>0.86377358490566036</v>
      </c>
      <c r="G26" s="6">
        <f>[218]Tasas!$B$35</f>
        <v>0.95846051758460515</v>
      </c>
    </row>
    <row r="27" spans="2:7" ht="15" thickBot="1" x14ac:dyDescent="0.25">
      <c r="B27" s="5" t="s">
        <v>57</v>
      </c>
      <c r="C27" s="6">
        <f>[219]Tasas!$B$36</f>
        <v>0.9026886113380802</v>
      </c>
      <c r="D27" s="6">
        <f>[219]Tasas!$B$17</f>
        <v>0.78732601365954868</v>
      </c>
      <c r="E27" s="6">
        <f>[219]Tasas!$B$28</f>
        <v>1.0017615971814444</v>
      </c>
      <c r="F27" s="6">
        <f>[219]Tasas!$B$31</f>
        <v>0.96509598603839442</v>
      </c>
      <c r="G27" s="6">
        <f>[219]Tasas!$B$35</f>
        <v>0.974390243902439</v>
      </c>
    </row>
    <row r="28" spans="2:7" ht="15" thickBot="1" x14ac:dyDescent="0.25">
      <c r="B28" s="5" t="s">
        <v>58</v>
      </c>
      <c r="C28" s="6">
        <f>[220]Tasas!$B$36</f>
        <v>0.98231813313199068</v>
      </c>
      <c r="D28" s="6">
        <f>[220]Tasas!$B$17</f>
        <v>0.91632783030421794</v>
      </c>
      <c r="E28" s="6">
        <f>[220]Tasas!$B$28</f>
        <v>0.99561173696620386</v>
      </c>
      <c r="F28" s="6">
        <f>[220]Tasas!$B$31</f>
        <v>1.28542814221332</v>
      </c>
      <c r="G28" s="6">
        <f>[220]Tasas!$B$35</f>
        <v>1.0661672908863919</v>
      </c>
    </row>
    <row r="29" spans="2:7" ht="15" thickBot="1" x14ac:dyDescent="0.25">
      <c r="B29" s="5" t="s">
        <v>59</v>
      </c>
      <c r="C29" s="6">
        <f>[221]Tasas!$B$36</f>
        <v>0.94715435085948396</v>
      </c>
      <c r="D29" s="6">
        <f>[221]Tasas!$B$17</f>
        <v>0.81293197869849299</v>
      </c>
      <c r="E29" s="6">
        <f>[221]Tasas!$B$28</f>
        <v>1.0121676179869135</v>
      </c>
      <c r="F29" s="6">
        <f>[221]Tasas!$B$31</f>
        <v>1.4549968963376785</v>
      </c>
      <c r="G29" s="6">
        <f>[221]Tasas!$B$35</f>
        <v>1.0663098424026167</v>
      </c>
    </row>
    <row r="30" spans="2:7" ht="15" thickBot="1" x14ac:dyDescent="0.25">
      <c r="B30" s="5" t="s">
        <v>60</v>
      </c>
      <c r="C30" s="6">
        <f>[222]Tasas!$B$36</f>
        <v>0.94565111522353174</v>
      </c>
      <c r="D30" s="6">
        <f>[222]Tasas!$B$17</f>
        <v>0.91039381854436685</v>
      </c>
      <c r="E30" s="6">
        <f>[222]Tasas!$B$28</f>
        <v>0.97922822096875284</v>
      </c>
      <c r="F30" s="6">
        <f>[222]Tasas!$B$31</f>
        <v>0.90393013100436681</v>
      </c>
      <c r="G30" s="6">
        <f>[222]Tasas!$B$35</f>
        <v>0.86296715741789354</v>
      </c>
    </row>
    <row r="31" spans="2:7" ht="15" thickBot="1" x14ac:dyDescent="0.25">
      <c r="B31" s="5" t="s">
        <v>61</v>
      </c>
      <c r="C31" s="6">
        <f>[223]Tasas!$B$36</f>
        <v>0.96329646667319169</v>
      </c>
      <c r="D31" s="6">
        <f>[223]Tasas!$B$17</f>
        <v>0.85746839164951483</v>
      </c>
      <c r="E31" s="6">
        <f>[223]Tasas!$B$28</f>
        <v>1.030233565115509</v>
      </c>
      <c r="F31" s="6">
        <f>[223]Tasas!$B$31</f>
        <v>1.1499760421657883</v>
      </c>
      <c r="G31" s="6">
        <f>[223]Tasas!$B$35</f>
        <v>0.91663854201822481</v>
      </c>
    </row>
    <row r="32" spans="2:7" ht="15" thickBot="1" x14ac:dyDescent="0.25">
      <c r="B32" s="5" t="s">
        <v>62</v>
      </c>
      <c r="C32" s="6">
        <f>[224]Tasas!$B$36</f>
        <v>0.9632191260544517</v>
      </c>
      <c r="D32" s="6">
        <f>[224]Tasas!$B$17</f>
        <v>0.9007664562669071</v>
      </c>
      <c r="E32" s="6">
        <f>[224]Tasas!$B$28</f>
        <v>1.013458110516934</v>
      </c>
      <c r="F32" s="6">
        <f>[224]Tasas!$B$31</f>
        <v>1.2444029850746268</v>
      </c>
      <c r="G32" s="6">
        <f>[224]Tasas!$B$35</f>
        <v>0.9531610521458237</v>
      </c>
    </row>
    <row r="33" spans="2:7" ht="15" thickBot="1" x14ac:dyDescent="0.25">
      <c r="B33" s="5" t="s">
        <v>63</v>
      </c>
      <c r="C33" s="6">
        <f>[225]Tasas!$B$36</f>
        <v>0.95299098427183193</v>
      </c>
      <c r="D33" s="6">
        <f>[225]Tasas!$B$17</f>
        <v>0.90550879877582247</v>
      </c>
      <c r="E33" s="6">
        <f>[225]Tasas!$B$28</f>
        <v>0.98151475226574036</v>
      </c>
      <c r="F33" s="6">
        <f>[225]Tasas!$B$31</f>
        <v>1.510204081632653</v>
      </c>
      <c r="G33" s="6">
        <f>[225]Tasas!$B$35</f>
        <v>0.86729301233118028</v>
      </c>
    </row>
    <row r="34" spans="2:7" ht="15" thickBot="1" x14ac:dyDescent="0.25">
      <c r="B34" s="5" t="s">
        <v>64</v>
      </c>
      <c r="C34" s="6">
        <f>[226]Tasas!$B$36</f>
        <v>0.98549601417183352</v>
      </c>
      <c r="D34" s="6">
        <f>[226]Tasas!$B$17</f>
        <v>0.9443965179201631</v>
      </c>
      <c r="E34" s="6">
        <f>[226]Tasas!$B$28</f>
        <v>0.99621612108412527</v>
      </c>
      <c r="F34" s="6">
        <f>[226]Tasas!$B$31</f>
        <v>1.3196930946291561</v>
      </c>
      <c r="G34" s="6">
        <f>[226]Tasas!$B$35</f>
        <v>1.049567985447931</v>
      </c>
    </row>
    <row r="35" spans="2:7" ht="15" thickBot="1" x14ac:dyDescent="0.25">
      <c r="B35" s="5" t="s">
        <v>65</v>
      </c>
      <c r="C35" s="6">
        <f>[227]Tasas!$B$36</f>
        <v>0.92119133011071264</v>
      </c>
      <c r="D35" s="6">
        <f>[227]Tasas!$B$17</f>
        <v>0.90753696357735303</v>
      </c>
      <c r="E35" s="6">
        <f>[227]Tasas!$B$28</f>
        <v>0.9501527353512913</v>
      </c>
      <c r="F35" s="6">
        <f>[227]Tasas!$B$31</f>
        <v>0.92455621301775148</v>
      </c>
      <c r="G35" s="6">
        <f>[227]Tasas!$B$35</f>
        <v>0.84743589743589742</v>
      </c>
    </row>
    <row r="36" spans="2:7" ht="15" thickBot="1" x14ac:dyDescent="0.25">
      <c r="B36" s="5" t="s">
        <v>32</v>
      </c>
      <c r="C36" s="6">
        <f>[228]Tasas!$B$36</f>
        <v>0.98499329468738783</v>
      </c>
      <c r="D36" s="6">
        <f>[228]Tasas!$B$17</f>
        <v>0.92153193460689775</v>
      </c>
      <c r="E36" s="6">
        <f>[228]Tasas!$B$28</f>
        <v>1.0346109399577927</v>
      </c>
      <c r="F36" s="6">
        <f>[228]Tasas!$B$31</f>
        <v>0.9921235198998487</v>
      </c>
      <c r="G36" s="6">
        <f>[228]Tasas!$B$35</f>
        <v>1.0139171227521502</v>
      </c>
    </row>
    <row r="37" spans="2:7" ht="15" thickBot="1" x14ac:dyDescent="0.25">
      <c r="B37" s="5" t="s">
        <v>66</v>
      </c>
      <c r="C37" s="6">
        <f>[229]Tasas!$B$36</f>
        <v>0.98816017433204295</v>
      </c>
      <c r="D37" s="6">
        <f>[229]Tasas!$B$17</f>
        <v>0.95098996714907214</v>
      </c>
      <c r="E37" s="6">
        <f>[229]Tasas!$B$28</f>
        <v>1.0112835969233429</v>
      </c>
      <c r="F37" s="6">
        <f>[229]Tasas!$B$31</f>
        <v>0.85671894870707932</v>
      </c>
      <c r="G37" s="6">
        <f>[229]Tasas!$B$35</f>
        <v>0.9880402694724093</v>
      </c>
    </row>
    <row r="38" spans="2:7" ht="15" thickBot="1" x14ac:dyDescent="0.25">
      <c r="B38" s="5" t="s">
        <v>33</v>
      </c>
      <c r="C38" s="6">
        <f>[230]Tasas!$B$36</f>
        <v>0.96762501165258308</v>
      </c>
      <c r="D38" s="6">
        <f>[230]Tasas!$B$17</f>
        <v>0.93197524795419717</v>
      </c>
      <c r="E38" s="6">
        <f>[230]Tasas!$B$28</f>
        <v>0.97619238156209986</v>
      </c>
      <c r="F38" s="6">
        <f>[230]Tasas!$B$31</f>
        <v>1.1909836065573771</v>
      </c>
      <c r="G38" s="6">
        <f>[230]Tasas!$B$35</f>
        <v>1.0503709896540914</v>
      </c>
    </row>
    <row r="39" spans="2:7" ht="15" thickBot="1" x14ac:dyDescent="0.25">
      <c r="B39" s="5" t="s">
        <v>34</v>
      </c>
      <c r="C39" s="6">
        <f>[231]Tasas!$B$36</f>
        <v>0.99654269250916705</v>
      </c>
      <c r="D39" s="6">
        <f>[231]Tasas!$B$17</f>
        <v>0.96396972080220211</v>
      </c>
      <c r="E39" s="6">
        <f>[231]Tasas!$B$28</f>
        <v>1.0199585357551753</v>
      </c>
      <c r="F39" s="6">
        <f>[231]Tasas!$B$31</f>
        <v>1</v>
      </c>
      <c r="G39" s="6">
        <f>[231]Tasas!$B$35</f>
        <v>0.96868773128380303</v>
      </c>
    </row>
    <row r="40" spans="2:7" ht="15" thickBot="1" x14ac:dyDescent="0.25">
      <c r="B40" s="5" t="s">
        <v>67</v>
      </c>
      <c r="C40" s="6">
        <f>[232]Tasas!$B$36</f>
        <v>0.90012219435333463</v>
      </c>
      <c r="D40" s="6">
        <f>[232]Tasas!$B$17</f>
        <v>0.84508713385242862</v>
      </c>
      <c r="E40" s="6">
        <f>[232]Tasas!$B$28</f>
        <v>0.94712112171837703</v>
      </c>
      <c r="F40" s="6">
        <f>[232]Tasas!$B$31</f>
        <v>0.81280788177339902</v>
      </c>
      <c r="G40" s="6">
        <f>[232]Tasas!$B$35</f>
        <v>0.94605116796440492</v>
      </c>
    </row>
    <row r="41" spans="2:7" ht="15" thickBot="1" x14ac:dyDescent="0.25">
      <c r="B41" s="5" t="s">
        <v>31</v>
      </c>
      <c r="C41" s="6">
        <f>[233]Tasas!$B$36</f>
        <v>0.95715242983110727</v>
      </c>
      <c r="D41" s="6">
        <f>[233]Tasas!$B$17</f>
        <v>0.92086787010475935</v>
      </c>
      <c r="E41" s="6">
        <f>[233]Tasas!$B$28</f>
        <v>1.0023146862211358</v>
      </c>
      <c r="F41" s="6">
        <f>[233]Tasas!$B$31</f>
        <v>0.9620499513460915</v>
      </c>
      <c r="G41" s="6">
        <f>[233]Tasas!$B$35</f>
        <v>0.94238535403392265</v>
      </c>
    </row>
    <row r="42" spans="2:7" ht="15" thickBot="1" x14ac:dyDescent="0.25">
      <c r="B42" s="5" t="s">
        <v>68</v>
      </c>
      <c r="C42" s="6">
        <f>[234]Tasas!$B$36</f>
        <v>0.86290064955808754</v>
      </c>
      <c r="D42" s="6">
        <f>[234]Tasas!$B$17</f>
        <v>0.76852193144120895</v>
      </c>
      <c r="E42" s="6">
        <f>[234]Tasas!$B$28</f>
        <v>0.93975243728776425</v>
      </c>
      <c r="F42" s="6">
        <f>[234]Tasas!$B$31</f>
        <v>0.83862433862433861</v>
      </c>
      <c r="G42" s="6">
        <f>[234]Tasas!$B$35</f>
        <v>0.92957746478873238</v>
      </c>
    </row>
    <row r="43" spans="2:7" ht="15" thickBot="1" x14ac:dyDescent="0.25">
      <c r="B43" s="5" t="s">
        <v>69</v>
      </c>
      <c r="C43" s="6">
        <f>[235]Tasas!$B$36</f>
        <v>0.9770111543219917</v>
      </c>
      <c r="D43" s="6">
        <f>[235]Tasas!$B$17</f>
        <v>0.94035025597899058</v>
      </c>
      <c r="E43" s="6">
        <f>[235]Tasas!$B$28</f>
        <v>0.99322438878696084</v>
      </c>
      <c r="F43" s="6">
        <f>[235]Tasas!$B$31</f>
        <v>1.2450871338524285</v>
      </c>
      <c r="G43" s="6">
        <f>[235]Tasas!$B$35</f>
        <v>0.96793692509855456</v>
      </c>
    </row>
    <row r="44" spans="2:7" ht="15" thickBot="1" x14ac:dyDescent="0.25">
      <c r="B44" s="5" t="s">
        <v>70</v>
      </c>
      <c r="C44" s="6">
        <f>[236]Tasas!$B$36</f>
        <v>0.87595224559408758</v>
      </c>
      <c r="D44" s="6">
        <f>[236]Tasas!$B$17</f>
        <v>0.82026002413534005</v>
      </c>
      <c r="E44" s="6">
        <f>[236]Tasas!$B$28</f>
        <v>0.92931172978585841</v>
      </c>
      <c r="F44" s="6">
        <f>[236]Tasas!$B$31</f>
        <v>0.80880448856279674</v>
      </c>
      <c r="G44" s="6">
        <f>[236]Tasas!$B$35</f>
        <v>0.8611884303521723</v>
      </c>
    </row>
    <row r="45" spans="2:7" ht="15" thickBot="1" x14ac:dyDescent="0.25">
      <c r="B45" s="5" t="s">
        <v>71</v>
      </c>
      <c r="C45" s="6">
        <f>[237]Tasas!$B$36</f>
        <v>0.94473837120401238</v>
      </c>
      <c r="D45" s="6">
        <f>[237]Tasas!$B$17</f>
        <v>0.90822010869565217</v>
      </c>
      <c r="E45" s="6">
        <f>[237]Tasas!$B$28</f>
        <v>0.99492055222714249</v>
      </c>
      <c r="F45" s="6">
        <f>[237]Tasas!$B$31</f>
        <v>0.87664041994750652</v>
      </c>
      <c r="G45" s="6">
        <f>[237]Tasas!$B$35</f>
        <v>0.84739387426114987</v>
      </c>
    </row>
    <row r="46" spans="2:7" ht="15" thickBot="1" x14ac:dyDescent="0.25">
      <c r="B46" s="5" t="s">
        <v>72</v>
      </c>
      <c r="C46" s="6">
        <f>[238]Tasas!$B$36</f>
        <v>0.94765768689819319</v>
      </c>
      <c r="D46" s="6">
        <f>[238]Tasas!$B$17</f>
        <v>0.87720408001897687</v>
      </c>
      <c r="E46" s="6">
        <f>[238]Tasas!$B$28</f>
        <v>1.0045803304566099</v>
      </c>
      <c r="F46" s="6">
        <f>[238]Tasas!$B$31</f>
        <v>0.83595691797845895</v>
      </c>
      <c r="G46" s="6">
        <f>[238]Tasas!$B$35</f>
        <v>0.87996649114408809</v>
      </c>
    </row>
    <row r="47" spans="2:7" ht="15" thickBot="1" x14ac:dyDescent="0.25">
      <c r="B47" s="5" t="s">
        <v>5</v>
      </c>
      <c r="C47" s="6">
        <f>[239]Tasas!$B$36</f>
        <v>0.95516599010176273</v>
      </c>
      <c r="D47" s="6">
        <f>[239]Tasas!$B$17</f>
        <v>0.90279097387173401</v>
      </c>
      <c r="E47" s="6">
        <f>[239]Tasas!$B$28</f>
        <v>1.0132229362333169</v>
      </c>
      <c r="F47" s="6">
        <f>[239]Tasas!$B$31</f>
        <v>1.0033472803347281</v>
      </c>
      <c r="G47" s="6">
        <f>[239]Tasas!$B$35</f>
        <v>0.9183194711025805</v>
      </c>
    </row>
    <row r="48" spans="2:7" ht="15" thickBot="1" x14ac:dyDescent="0.25">
      <c r="B48" s="5" t="s">
        <v>73</v>
      </c>
      <c r="C48" s="6">
        <f>[240]Tasas!$B$36</f>
        <v>0.99426897605705555</v>
      </c>
      <c r="D48" s="6">
        <f>[240]Tasas!$B$17</f>
        <v>0.94812362030905073</v>
      </c>
      <c r="E48" s="6">
        <f>[240]Tasas!$B$28</f>
        <v>1.0488107036669971</v>
      </c>
      <c r="F48" s="6">
        <f>[240]Tasas!$B$31</f>
        <v>0.94011976047904189</v>
      </c>
      <c r="G48" s="6">
        <f>[240]Tasas!$B$35</f>
        <v>0.84157160963244615</v>
      </c>
    </row>
    <row r="49" spans="2:7" ht="15" thickBot="1" x14ac:dyDescent="0.25">
      <c r="B49" s="5" t="s">
        <v>74</v>
      </c>
      <c r="C49" s="6">
        <f>[241]Tasas!$B$36</f>
        <v>0.97280067486141242</v>
      </c>
      <c r="D49" s="6">
        <f>[241]Tasas!$B$17</f>
        <v>0.89570192010075456</v>
      </c>
      <c r="E49" s="6">
        <f>[241]Tasas!$B$28</f>
        <v>1.0198651116216058</v>
      </c>
      <c r="F49" s="6">
        <f>[241]Tasas!$B$31</f>
        <v>1.236524247340905</v>
      </c>
      <c r="G49" s="6">
        <f>[241]Tasas!$B$35</f>
        <v>0.92732641889945255</v>
      </c>
    </row>
    <row r="50" spans="2:7" ht="15" thickBot="1" x14ac:dyDescent="0.25">
      <c r="B50" s="5" t="s">
        <v>75</v>
      </c>
      <c r="C50" s="6">
        <f>[242]Tasas!$B$36</f>
        <v>0.97702658352477845</v>
      </c>
      <c r="D50" s="6">
        <f>[242]Tasas!$B$17</f>
        <v>0.93848857644991213</v>
      </c>
      <c r="E50" s="6">
        <f>[242]Tasas!$B$28</f>
        <v>1.0167884653367569</v>
      </c>
      <c r="F50" s="6">
        <f>[242]Tasas!$B$31</f>
        <v>0.82485875706214684</v>
      </c>
      <c r="G50" s="6">
        <f>[242]Tasas!$B$35</f>
        <v>0.88911704312114992</v>
      </c>
    </row>
    <row r="51" spans="2:7" ht="15" thickBot="1" x14ac:dyDescent="0.25">
      <c r="B51" s="5" t="s">
        <v>76</v>
      </c>
      <c r="C51" s="6">
        <f>[243]Tasas!$B$36</f>
        <v>0.97882707866709329</v>
      </c>
      <c r="D51" s="6">
        <f>[243]Tasas!$B$17</f>
        <v>0.91965758265923192</v>
      </c>
      <c r="E51" s="6">
        <f>[243]Tasas!$B$28</f>
        <v>1.0154187380497133</v>
      </c>
      <c r="F51" s="6">
        <f>[243]Tasas!$B$31</f>
        <v>0.95282051282051283</v>
      </c>
      <c r="G51" s="6">
        <f>[243]Tasas!$B$35</f>
        <v>0.95678246484698093</v>
      </c>
    </row>
    <row r="52" spans="2:7" ht="15" thickBot="1" x14ac:dyDescent="0.25">
      <c r="B52" s="5" t="s">
        <v>77</v>
      </c>
      <c r="C52" s="6">
        <f>[244]Tasas!$B$36</f>
        <v>0.98173207036535859</v>
      </c>
      <c r="D52" s="6">
        <f>[244]Tasas!$B$17</f>
        <v>1.0085043988269795</v>
      </c>
      <c r="E52" s="6">
        <f>[244]Tasas!$B$28</f>
        <v>0.99239974126778785</v>
      </c>
      <c r="F52" s="6">
        <f>[244]Tasas!$B$31</f>
        <v>0.76143790849673199</v>
      </c>
      <c r="G52" s="6">
        <f>[244]Tasas!$B$35</f>
        <v>0.78026905829596416</v>
      </c>
    </row>
    <row r="53" spans="2:7" ht="15" thickBot="1" x14ac:dyDescent="0.25">
      <c r="B53" s="5" t="s">
        <v>78</v>
      </c>
      <c r="C53" s="6">
        <f>[245]Tasas!$B$36</f>
        <v>0.92656751732296772</v>
      </c>
      <c r="D53" s="6">
        <f>[245]Tasas!$B$17</f>
        <v>0.85158135399466528</v>
      </c>
      <c r="E53" s="6">
        <f>[245]Tasas!$B$28</f>
        <v>1.0027912656645248</v>
      </c>
      <c r="F53" s="6">
        <f>[245]Tasas!$B$31</f>
        <v>1.0163826998689385</v>
      </c>
      <c r="G53" s="6">
        <f>[245]Tasas!$B$35</f>
        <v>0.81603117172279427</v>
      </c>
    </row>
    <row r="54" spans="2:7" ht="15" thickBot="1" x14ac:dyDescent="0.25">
      <c r="B54" s="5" t="s">
        <v>79</v>
      </c>
      <c r="C54" s="6">
        <f>[246]Tasas!$B$36</f>
        <v>0.98442820427969235</v>
      </c>
      <c r="D54" s="6">
        <f>[246]Tasas!$B$17</f>
        <v>0.94974503853527159</v>
      </c>
      <c r="E54" s="6">
        <f>[246]Tasas!$B$28</f>
        <v>1.016550605742631</v>
      </c>
      <c r="F54" s="6">
        <f>[246]Tasas!$B$31</f>
        <v>0.97474935016709985</v>
      </c>
      <c r="G54" s="6">
        <f>[246]Tasas!$B$35</f>
        <v>0.9394360922369055</v>
      </c>
    </row>
    <row r="55" spans="2:7" ht="15" thickBot="1" x14ac:dyDescent="0.25">
      <c r="B55" s="5" t="s">
        <v>80</v>
      </c>
      <c r="C55" s="6">
        <f>[247]Tasas!$B$36</f>
        <v>0.97189354498125025</v>
      </c>
      <c r="D55" s="6">
        <f>[247]Tasas!$B$17</f>
        <v>0.94215782259643621</v>
      </c>
      <c r="E55" s="6">
        <f>[247]Tasas!$B$28</f>
        <v>1.0201432220779765</v>
      </c>
      <c r="F55" s="6">
        <f>[247]Tasas!$B$31</f>
        <v>0.95652173913043481</v>
      </c>
      <c r="G55" s="6">
        <f>[247]Tasas!$B$35</f>
        <v>0.88566827697262485</v>
      </c>
    </row>
    <row r="56" spans="2:7" ht="15" thickBot="1" x14ac:dyDescent="0.25">
      <c r="B56" s="5" t="s">
        <v>81</v>
      </c>
      <c r="C56" s="6">
        <f>[248]Tasas!$B$36</f>
        <v>0.96690705353050665</v>
      </c>
      <c r="D56" s="6">
        <f>[248]Tasas!$B$17</f>
        <v>0.87105055691443123</v>
      </c>
      <c r="E56" s="6">
        <f>[248]Tasas!$B$28</f>
        <v>0.99566497068151227</v>
      </c>
      <c r="F56" s="6">
        <f>[248]Tasas!$B$31</f>
        <v>2.5776765375854214</v>
      </c>
      <c r="G56" s="6">
        <f>[248]Tasas!$B$35</f>
        <v>0.96216500262743032</v>
      </c>
    </row>
    <row r="57" spans="2:7" ht="15" thickBot="1" x14ac:dyDescent="0.25">
      <c r="B57" s="5" t="s">
        <v>82</v>
      </c>
      <c r="C57" s="6">
        <f>[249]Tasas!$B$36</f>
        <v>0.99486721713903148</v>
      </c>
      <c r="D57" s="6">
        <f>[249]Tasas!$B$17</f>
        <v>1.0076520338300443</v>
      </c>
      <c r="E57" s="6">
        <f>[249]Tasas!$B$28</f>
        <v>0.98716542343132951</v>
      </c>
      <c r="F57" s="6">
        <f>[249]Tasas!$B$31</f>
        <v>0.97832817337461297</v>
      </c>
      <c r="G57" s="6">
        <f>[249]Tasas!$B$35</f>
        <v>0.97586872586872586</v>
      </c>
    </row>
    <row r="58" spans="2:7" ht="15" thickBot="1" x14ac:dyDescent="0.25">
      <c r="B58" s="5" t="s">
        <v>83</v>
      </c>
      <c r="C58" s="6">
        <f>[250]Tasas!$B$36</f>
        <v>0.95975913696810933</v>
      </c>
      <c r="D58" s="6">
        <f>[250]Tasas!$B$17</f>
        <v>0.8932074189162944</v>
      </c>
      <c r="E58" s="6">
        <f>[250]Tasas!$B$28</f>
        <v>1.0097371793804824</v>
      </c>
      <c r="F58" s="6">
        <f>[250]Tasas!$B$31</f>
        <v>0.92159498207885304</v>
      </c>
      <c r="G58" s="6">
        <f>[250]Tasas!$B$35</f>
        <v>0.93240093240093236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B86CC-71C0-4094-A62F-3CE6D8472E8B}">
  <dimension ref="B7:G58"/>
  <sheetViews>
    <sheetView workbookViewId="0">
      <selection activeCell="A2" sqref="A2"/>
    </sheetView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f>[251]Tasas!$B$36</f>
        <v>0.93715002896312027</v>
      </c>
      <c r="D9" s="6">
        <f>[251]Tasas!$B$17</f>
        <v>0.96891320567023131</v>
      </c>
      <c r="E9" s="6">
        <f>[251]Tasas!$B$28</f>
        <v>1.0181147540983606</v>
      </c>
      <c r="F9" s="6">
        <f>[251]Tasas!$B$31</f>
        <v>0.50452923414768047</v>
      </c>
      <c r="G9" s="6">
        <f>[251]Tasas!$B$35</f>
        <v>1.0018939393939394</v>
      </c>
    </row>
    <row r="10" spans="2:7" s="8" customFormat="1" ht="20.100000000000001" customHeight="1" thickBot="1" x14ac:dyDescent="0.25">
      <c r="B10" s="5" t="s">
        <v>40</v>
      </c>
      <c r="C10" s="6">
        <f>[252]Tasas!$B$36</f>
        <v>0.97502621557481095</v>
      </c>
      <c r="D10" s="6">
        <f>[252]Tasas!$B$17</f>
        <v>0.92539047373176708</v>
      </c>
      <c r="E10" s="6">
        <f>[252]Tasas!$B$28</f>
        <v>1.0250058153058852</v>
      </c>
      <c r="F10" s="6">
        <f>[252]Tasas!$B$31</f>
        <v>1.026829268292683</v>
      </c>
      <c r="G10" s="6">
        <f>[252]Tasas!$B$35</f>
        <v>0.9263196480938416</v>
      </c>
    </row>
    <row r="11" spans="2:7" s="8" customFormat="1" ht="20.100000000000001" customHeight="1" thickBot="1" x14ac:dyDescent="0.25">
      <c r="B11" s="5" t="s">
        <v>41</v>
      </c>
      <c r="C11" s="6">
        <f>[253]Tasas!$B$36</f>
        <v>0.99187926899395507</v>
      </c>
      <c r="D11" s="6">
        <f>[253]Tasas!$B$17</f>
        <v>0.9148474825431826</v>
      </c>
      <c r="E11" s="6">
        <f>[253]Tasas!$B$28</f>
        <v>1.0380355668303978</v>
      </c>
      <c r="F11" s="6">
        <f>[253]Tasas!$B$31</f>
        <v>0.89490311710193771</v>
      </c>
      <c r="G11" s="6">
        <f>[253]Tasas!$B$35</f>
        <v>1.1238805970149253</v>
      </c>
    </row>
    <row r="12" spans="2:7" s="8" customFormat="1" ht="20.100000000000001" customHeight="1" thickBot="1" x14ac:dyDescent="0.25">
      <c r="B12" s="5" t="s">
        <v>42</v>
      </c>
      <c r="C12" s="6">
        <f>[254]Tasas!$B$36</f>
        <v>0.99810455787710484</v>
      </c>
      <c r="D12" s="6">
        <f>[254]Tasas!$B$17</f>
        <v>0.96665808444902168</v>
      </c>
      <c r="E12" s="6">
        <f>[254]Tasas!$B$28</f>
        <v>1.0117394083803104</v>
      </c>
      <c r="F12" s="6">
        <f>[254]Tasas!$B$31</f>
        <v>1.1447267128560432</v>
      </c>
      <c r="G12" s="6">
        <f>[254]Tasas!$B$35</f>
        <v>0.97836053548505408</v>
      </c>
    </row>
    <row r="13" spans="2:7" s="8" customFormat="1" ht="20.100000000000001" customHeight="1" thickBot="1" x14ac:dyDescent="0.25">
      <c r="B13" s="5" t="s">
        <v>43</v>
      </c>
      <c r="C13" s="6">
        <f>[255]Tasas!$B$36</f>
        <v>0.95185209381328806</v>
      </c>
      <c r="D13" s="6">
        <f>[255]Tasas!$B$17</f>
        <v>0.95831389018509872</v>
      </c>
      <c r="E13" s="6">
        <f>[255]Tasas!$B$28</f>
        <v>0.94929082465168824</v>
      </c>
      <c r="F13" s="6">
        <f>[255]Tasas!$B$31</f>
        <v>0.8764044943820225</v>
      </c>
      <c r="G13" s="6">
        <f>[255]Tasas!$B$35</f>
        <v>0.9503105590062112</v>
      </c>
    </row>
    <row r="14" spans="2:7" s="8" customFormat="1" ht="20.100000000000001" customHeight="1" thickBot="1" x14ac:dyDescent="0.25">
      <c r="B14" s="5" t="s">
        <v>44</v>
      </c>
      <c r="C14" s="6">
        <f>[256]Tasas!$B$36</f>
        <v>0.94005672052251632</v>
      </c>
      <c r="D14" s="6">
        <f>[256]Tasas!$B$17</f>
        <v>0.83833442052620133</v>
      </c>
      <c r="E14" s="6">
        <f>[256]Tasas!$B$28</f>
        <v>1.007304292595141</v>
      </c>
      <c r="F14" s="6">
        <f>[256]Tasas!$B$31</f>
        <v>1.0912375790424571</v>
      </c>
      <c r="G14" s="6">
        <f>[256]Tasas!$B$35</f>
        <v>0.96966055872634427</v>
      </c>
    </row>
    <row r="15" spans="2:7" s="8" customFormat="1" ht="20.100000000000001" customHeight="1" thickBot="1" x14ac:dyDescent="0.25">
      <c r="B15" s="5" t="s">
        <v>45</v>
      </c>
      <c r="C15" s="6">
        <f>[257]Tasas!$B$36</f>
        <v>0.94926259350424069</v>
      </c>
      <c r="D15" s="6">
        <f>[257]Tasas!$B$17</f>
        <v>0.91535406634307315</v>
      </c>
      <c r="E15" s="6">
        <f>[257]Tasas!$B$28</f>
        <v>0.96704428424304845</v>
      </c>
      <c r="F15" s="6">
        <f>[257]Tasas!$B$31</f>
        <v>0.89866255144032925</v>
      </c>
      <c r="G15" s="6">
        <f>[257]Tasas!$B$35</f>
        <v>1.0039469529523208</v>
      </c>
    </row>
    <row r="16" spans="2:7" s="8" customFormat="1" ht="20.100000000000001" customHeight="1" thickBot="1" x14ac:dyDescent="0.25">
      <c r="B16" s="5" t="s">
        <v>46</v>
      </c>
      <c r="C16" s="6">
        <f>[258]Tasas!$B$36</f>
        <v>0.97048671764812444</v>
      </c>
      <c r="D16" s="6">
        <f>[258]Tasas!$B$17</f>
        <v>0.89541190682741345</v>
      </c>
      <c r="E16" s="6">
        <f>[258]Tasas!$B$28</f>
        <v>1.0188916369759762</v>
      </c>
      <c r="F16" s="6">
        <f>[258]Tasas!$B$31</f>
        <v>1.0414717410544949</v>
      </c>
      <c r="G16" s="6">
        <f>[258]Tasas!$B$35</f>
        <v>1.0276218611521417</v>
      </c>
    </row>
    <row r="17" spans="2:7" s="8" customFormat="1" ht="20.100000000000001" customHeight="1" thickBot="1" x14ac:dyDescent="0.25">
      <c r="B17" s="5" t="s">
        <v>47</v>
      </c>
      <c r="C17" s="6">
        <f>[259]Tasas!$B$36</f>
        <v>0.93651916476721953</v>
      </c>
      <c r="D17" s="6">
        <f>[259]Tasas!$B$17</f>
        <v>0.89357937310414559</v>
      </c>
      <c r="E17" s="6">
        <f>[259]Tasas!$B$28</f>
        <v>0.97786624203821659</v>
      </c>
      <c r="F17" s="6">
        <f>[259]Tasas!$B$31</f>
        <v>1.2815934065934067</v>
      </c>
      <c r="G17" s="6">
        <f>[259]Tasas!$B$35</f>
        <v>0.81022686352178608</v>
      </c>
    </row>
    <row r="18" spans="2:7" s="8" customFormat="1" ht="20.100000000000001" customHeight="1" thickBot="1" x14ac:dyDescent="0.25">
      <c r="B18" s="5" t="s">
        <v>48</v>
      </c>
      <c r="C18" s="6">
        <f>[260]Tasas!$B$36</f>
        <v>0.91540461575575627</v>
      </c>
      <c r="D18" s="6">
        <f>[260]Tasas!$B$17</f>
        <v>0.83221183800623055</v>
      </c>
      <c r="E18" s="6">
        <f>[260]Tasas!$B$28</f>
        <v>0.98354236122135785</v>
      </c>
      <c r="F18" s="6">
        <f>[260]Tasas!$B$31</f>
        <v>1.1312500000000001</v>
      </c>
      <c r="G18" s="6">
        <f>[260]Tasas!$B$35</f>
        <v>0.86279069767441863</v>
      </c>
    </row>
    <row r="19" spans="2:7" s="8" customFormat="1" ht="20.100000000000001" customHeight="1" thickBot="1" x14ac:dyDescent="0.25">
      <c r="B19" s="5" t="s">
        <v>49</v>
      </c>
      <c r="C19" s="6">
        <f>[261]Tasas!$B$36</f>
        <v>0.94745088363198959</v>
      </c>
      <c r="D19" s="6">
        <f>[261]Tasas!$B$17</f>
        <v>0.83499313791040575</v>
      </c>
      <c r="E19" s="6">
        <f>[261]Tasas!$B$28</f>
        <v>1.0057978070126909</v>
      </c>
      <c r="F19" s="6">
        <f>[261]Tasas!$B$31</f>
        <v>1.3325454276850348</v>
      </c>
      <c r="G19" s="6">
        <f>[261]Tasas!$B$35</f>
        <v>0.76441657444977251</v>
      </c>
    </row>
    <row r="20" spans="2:7" s="8" customFormat="1" ht="20.100000000000001" customHeight="1" thickBot="1" x14ac:dyDescent="0.25">
      <c r="B20" s="5" t="s">
        <v>50</v>
      </c>
      <c r="C20" s="6">
        <f>[262]Tasas!$B$36</f>
        <v>1.0044593808569766</v>
      </c>
      <c r="D20" s="6">
        <f>[262]Tasas!$B$17</f>
        <v>0.96850975111844673</v>
      </c>
      <c r="E20" s="6">
        <f>[262]Tasas!$B$28</f>
        <v>1.0440008455893455</v>
      </c>
      <c r="F20" s="6">
        <f>[262]Tasas!$B$31</f>
        <v>0.70951669157947184</v>
      </c>
      <c r="G20" s="6">
        <f>[262]Tasas!$B$35</f>
        <v>1.0338757001867165</v>
      </c>
    </row>
    <row r="21" spans="2:7" s="8" customFormat="1" ht="20.100000000000001" customHeight="1" thickBot="1" x14ac:dyDescent="0.25">
      <c r="B21" s="5" t="s">
        <v>51</v>
      </c>
      <c r="C21" s="6">
        <f>[263]Tasas!$B$36</f>
        <v>0.99882298460232311</v>
      </c>
      <c r="D21" s="6">
        <f>[263]Tasas!$B$17</f>
        <v>0.96608521898795696</v>
      </c>
      <c r="E21" s="6">
        <f>[263]Tasas!$B$28</f>
        <v>1.011816192560175</v>
      </c>
      <c r="F21" s="6">
        <f>[263]Tasas!$B$31</f>
        <v>0.95112781954887216</v>
      </c>
      <c r="G21" s="6">
        <f>[263]Tasas!$B$35</f>
        <v>1.0908766928011404</v>
      </c>
    </row>
    <row r="22" spans="2:7" s="8" customFormat="1" ht="15" thickBot="1" x14ac:dyDescent="0.25">
      <c r="B22" s="5" t="s">
        <v>52</v>
      </c>
      <c r="C22" s="6">
        <f>[264]Tasas!$B$36</f>
        <v>0.98843470226526908</v>
      </c>
      <c r="D22" s="6">
        <f>[264]Tasas!$B$17</f>
        <v>0.96271127374106991</v>
      </c>
      <c r="E22" s="6">
        <f>[264]Tasas!$B$28</f>
        <v>1.008299469660445</v>
      </c>
      <c r="F22" s="6">
        <f>[264]Tasas!$B$31</f>
        <v>1.1857034795763994</v>
      </c>
      <c r="G22" s="6">
        <f>[264]Tasas!$B$35</f>
        <v>0.79098187947745469</v>
      </c>
    </row>
    <row r="23" spans="2:7" s="8" customFormat="1" ht="20.100000000000001" customHeight="1" thickBot="1" x14ac:dyDescent="0.25">
      <c r="B23" s="5" t="s">
        <v>53</v>
      </c>
      <c r="C23" s="6">
        <f>[265]Tasas!$B$36</f>
        <v>0.993168890312638</v>
      </c>
      <c r="D23" s="6">
        <f>[265]Tasas!$B$17</f>
        <v>0.93270063957086857</v>
      </c>
      <c r="E23" s="6">
        <f>[265]Tasas!$B$28</f>
        <v>1.0316574946366943</v>
      </c>
      <c r="F23" s="6">
        <f>[265]Tasas!$B$31</f>
        <v>1.1212624584717608</v>
      </c>
      <c r="G23" s="6">
        <f>[265]Tasas!$B$35</f>
        <v>1.0439281176257034</v>
      </c>
    </row>
    <row r="24" spans="2:7" s="8" customFormat="1" ht="20.100000000000001" customHeight="1" thickBot="1" x14ac:dyDescent="0.25">
      <c r="B24" s="5" t="s">
        <v>54</v>
      </c>
      <c r="C24" s="6">
        <f>[266]Tasas!$B$36</f>
        <v>0.95377951508108394</v>
      </c>
      <c r="D24" s="6">
        <f>[266]Tasas!$B$17</f>
        <v>0.95074914701082924</v>
      </c>
      <c r="E24" s="6">
        <f>[266]Tasas!$B$28</f>
        <v>0.96991049323938294</v>
      </c>
      <c r="F24" s="6">
        <f>[266]Tasas!$B$31</f>
        <v>1.0736497545008183</v>
      </c>
      <c r="G24" s="6">
        <f>[266]Tasas!$B$35</f>
        <v>0.74744661095636022</v>
      </c>
    </row>
    <row r="25" spans="2:7" s="8" customFormat="1" ht="20.100000000000001" customHeight="1" thickBot="1" x14ac:dyDescent="0.25">
      <c r="B25" s="5" t="s">
        <v>55</v>
      </c>
      <c r="C25" s="6">
        <f>[267]Tasas!$B$36</f>
        <v>0.97560828279411405</v>
      </c>
      <c r="D25" s="6">
        <f>[267]Tasas!$B$17</f>
        <v>0.89109990459315802</v>
      </c>
      <c r="E25" s="6">
        <f>[267]Tasas!$B$28</f>
        <v>1.0335323650337802</v>
      </c>
      <c r="F25" s="6">
        <f>[267]Tasas!$B$31</f>
        <v>0.95034246575342463</v>
      </c>
      <c r="G25" s="6">
        <f>[267]Tasas!$B$35</f>
        <v>0.89940368161783768</v>
      </c>
    </row>
    <row r="26" spans="2:7" s="8" customFormat="1" ht="20.100000000000001" customHeight="1" thickBot="1" x14ac:dyDescent="0.25">
      <c r="B26" s="5" t="s">
        <v>56</v>
      </c>
      <c r="C26" s="6">
        <f>[268]Tasas!$B$36</f>
        <v>0.98391002750071832</v>
      </c>
      <c r="D26" s="6">
        <f>[268]Tasas!$B$17</f>
        <v>0.933580299684168</v>
      </c>
      <c r="E26" s="6">
        <f>[268]Tasas!$B$28</f>
        <v>1.0019890069936053</v>
      </c>
      <c r="F26" s="6">
        <f>[268]Tasas!$B$31</f>
        <v>1.8380829015544042</v>
      </c>
      <c r="G26" s="6">
        <f>[268]Tasas!$B$35</f>
        <v>0.79579944154425153</v>
      </c>
    </row>
    <row r="27" spans="2:7" ht="15" thickBot="1" x14ac:dyDescent="0.25">
      <c r="B27" s="5" t="s">
        <v>57</v>
      </c>
      <c r="C27" s="6">
        <f>[269]Tasas!$B$36</f>
        <v>0.96001636996112139</v>
      </c>
      <c r="D27" s="6">
        <f>[269]Tasas!$B$17</f>
        <v>0.82537992449908049</v>
      </c>
      <c r="E27" s="6">
        <f>[269]Tasas!$B$28</f>
        <v>1.0753360953749895</v>
      </c>
      <c r="F27" s="6">
        <f>[269]Tasas!$B$31</f>
        <v>1.2220039292730844</v>
      </c>
      <c r="G27" s="6">
        <f>[269]Tasas!$B$35</f>
        <v>0.89988687782805432</v>
      </c>
    </row>
    <row r="28" spans="2:7" ht="15" thickBot="1" x14ac:dyDescent="0.25">
      <c r="B28" s="5" t="s">
        <v>58</v>
      </c>
      <c r="C28" s="6">
        <f>[270]Tasas!$B$36</f>
        <v>0.96766201112191896</v>
      </c>
      <c r="D28" s="6">
        <f>[270]Tasas!$B$17</f>
        <v>0.97619311261211383</v>
      </c>
      <c r="E28" s="6">
        <f>[270]Tasas!$B$28</f>
        <v>0.98430226631782813</v>
      </c>
      <c r="F28" s="6">
        <f>[270]Tasas!$B$31</f>
        <v>0.73652917131177997</v>
      </c>
      <c r="G28" s="6">
        <f>[270]Tasas!$B$35</f>
        <v>0.96258424355101091</v>
      </c>
    </row>
    <row r="29" spans="2:7" ht="15" thickBot="1" x14ac:dyDescent="0.25">
      <c r="B29" s="5" t="s">
        <v>59</v>
      </c>
      <c r="C29" s="6">
        <f>[271]Tasas!$B$36</f>
        <v>0.97407069786285827</v>
      </c>
      <c r="D29" s="6">
        <f>[271]Tasas!$B$17</f>
        <v>0.88011361227690876</v>
      </c>
      <c r="E29" s="6">
        <f>[271]Tasas!$B$28</f>
        <v>1.0019396931758067</v>
      </c>
      <c r="F29" s="6">
        <f>[271]Tasas!$B$31</f>
        <v>1.286417726713172</v>
      </c>
      <c r="G29" s="6">
        <f>[271]Tasas!$B$35</f>
        <v>1.0770365997638724</v>
      </c>
    </row>
    <row r="30" spans="2:7" ht="15" thickBot="1" x14ac:dyDescent="0.25">
      <c r="B30" s="5" t="s">
        <v>60</v>
      </c>
      <c r="C30" s="6">
        <f>[272]Tasas!$B$36</f>
        <v>0.96150252289291727</v>
      </c>
      <c r="D30" s="6">
        <f>[272]Tasas!$B$17</f>
        <v>0.92363679751819594</v>
      </c>
      <c r="E30" s="6">
        <f>[272]Tasas!$B$28</f>
        <v>0.99502743484224965</v>
      </c>
      <c r="F30" s="6">
        <f>[272]Tasas!$B$31</f>
        <v>0.93509127789046653</v>
      </c>
      <c r="G30" s="6">
        <f>[272]Tasas!$B$35</f>
        <v>0.89145496535796764</v>
      </c>
    </row>
    <row r="31" spans="2:7" ht="15" thickBot="1" x14ac:dyDescent="0.25">
      <c r="B31" s="5" t="s">
        <v>61</v>
      </c>
      <c r="C31" s="6">
        <f>[273]Tasas!$B$36</f>
        <v>0.97893188290391808</v>
      </c>
      <c r="D31" s="6">
        <f>[273]Tasas!$B$17</f>
        <v>0.85642782889924152</v>
      </c>
      <c r="E31" s="6">
        <f>[273]Tasas!$B$28</f>
        <v>1.0401156315901714</v>
      </c>
      <c r="F31" s="6">
        <f>[273]Tasas!$B$31</f>
        <v>1.3126085446335534</v>
      </c>
      <c r="G31" s="6">
        <f>[273]Tasas!$B$35</f>
        <v>0.86010533245556287</v>
      </c>
    </row>
    <row r="32" spans="2:7" ht="15" thickBot="1" x14ac:dyDescent="0.25">
      <c r="B32" s="5" t="s">
        <v>62</v>
      </c>
      <c r="C32" s="6">
        <f>[274]Tasas!$B$36</f>
        <v>0.98115281283074163</v>
      </c>
      <c r="D32" s="6">
        <f>[274]Tasas!$B$17</f>
        <v>0.9703750856919009</v>
      </c>
      <c r="E32" s="6">
        <f>[274]Tasas!$B$28</f>
        <v>1.0188512257721922</v>
      </c>
      <c r="F32" s="6">
        <f>[274]Tasas!$B$31</f>
        <v>0.8609550561797753</v>
      </c>
      <c r="G32" s="6">
        <f>[274]Tasas!$B$35</f>
        <v>0.88289249146757676</v>
      </c>
    </row>
    <row r="33" spans="2:7" ht="15" thickBot="1" x14ac:dyDescent="0.25">
      <c r="B33" s="5" t="s">
        <v>63</v>
      </c>
      <c r="C33" s="6">
        <f>[275]Tasas!$B$36</f>
        <v>0.96967146086872869</v>
      </c>
      <c r="D33" s="6">
        <f>[275]Tasas!$B$17</f>
        <v>0.90831735378715239</v>
      </c>
      <c r="E33" s="6">
        <f>[275]Tasas!$B$28</f>
        <v>1.0177575059782127</v>
      </c>
      <c r="F33" s="6">
        <f>[275]Tasas!$B$31</f>
        <v>0.77491408934707906</v>
      </c>
      <c r="G33" s="6">
        <f>[275]Tasas!$B$35</f>
        <v>0.99942062572421786</v>
      </c>
    </row>
    <row r="34" spans="2:7" ht="15" thickBot="1" x14ac:dyDescent="0.25">
      <c r="B34" s="5" t="s">
        <v>64</v>
      </c>
      <c r="C34" s="6">
        <f>[276]Tasas!$B$36</f>
        <v>0.96846174455544076</v>
      </c>
      <c r="D34" s="6">
        <f>[276]Tasas!$B$17</f>
        <v>0.94432203389830505</v>
      </c>
      <c r="E34" s="6">
        <f>[276]Tasas!$B$28</f>
        <v>0.99022090282022179</v>
      </c>
      <c r="F34" s="6">
        <f>[276]Tasas!$B$31</f>
        <v>0.80926130099228222</v>
      </c>
      <c r="G34" s="6">
        <f>[276]Tasas!$B$35</f>
        <v>1.0599898322318251</v>
      </c>
    </row>
    <row r="35" spans="2:7" ht="15" thickBot="1" x14ac:dyDescent="0.25">
      <c r="B35" s="5" t="s">
        <v>65</v>
      </c>
      <c r="C35" s="6">
        <f>[277]Tasas!$B$36</f>
        <v>0.97559890891840606</v>
      </c>
      <c r="D35" s="6">
        <f>[277]Tasas!$B$17</f>
        <v>0.95822296223416337</v>
      </c>
      <c r="E35" s="6">
        <f>[277]Tasas!$B$28</f>
        <v>0.99868334430546413</v>
      </c>
      <c r="F35" s="6">
        <f>[277]Tasas!$B$31</f>
        <v>1.2445054945054945</v>
      </c>
      <c r="G35" s="6">
        <f>[277]Tasas!$B$35</f>
        <v>0.86127355425601038</v>
      </c>
    </row>
    <row r="36" spans="2:7" ht="15" thickBot="1" x14ac:dyDescent="0.25">
      <c r="B36" s="5" t="s">
        <v>32</v>
      </c>
      <c r="C36" s="6">
        <f>[278]Tasas!$B$36</f>
        <v>1.0073413309267438</v>
      </c>
      <c r="D36" s="6">
        <f>[278]Tasas!$B$17</f>
        <v>0.96781820118692929</v>
      </c>
      <c r="E36" s="6">
        <f>[278]Tasas!$B$28</f>
        <v>1.0333947442491236</v>
      </c>
      <c r="F36" s="6">
        <f>[278]Tasas!$B$31</f>
        <v>1.2532656472481891</v>
      </c>
      <c r="G36" s="6">
        <f>[278]Tasas!$B$35</f>
        <v>0.96225677627665906</v>
      </c>
    </row>
    <row r="37" spans="2:7" ht="15" thickBot="1" x14ac:dyDescent="0.25">
      <c r="B37" s="5" t="s">
        <v>66</v>
      </c>
      <c r="C37" s="6">
        <f>[279]Tasas!$B$36</f>
        <v>0.99100087249158664</v>
      </c>
      <c r="D37" s="6">
        <f>[279]Tasas!$B$17</f>
        <v>0.93580548597959556</v>
      </c>
      <c r="E37" s="6">
        <f>[279]Tasas!$B$28</f>
        <v>1.0198314162593116</v>
      </c>
      <c r="F37" s="6">
        <f>[279]Tasas!$B$31</f>
        <v>1.088079235939158</v>
      </c>
      <c r="G37" s="6">
        <f>[279]Tasas!$B$35</f>
        <v>0.90264387963774462</v>
      </c>
    </row>
    <row r="38" spans="2:7" ht="15" thickBot="1" x14ac:dyDescent="0.25">
      <c r="B38" s="5" t="s">
        <v>33</v>
      </c>
      <c r="C38" s="6">
        <f>[280]Tasas!$B$36</f>
        <v>0.97978721614330666</v>
      </c>
      <c r="D38" s="6">
        <f>[280]Tasas!$B$17</f>
        <v>0.96535475403614746</v>
      </c>
      <c r="E38" s="6">
        <f>[280]Tasas!$B$28</f>
        <v>0.98807971873271705</v>
      </c>
      <c r="F38" s="6">
        <f>[280]Tasas!$B$31</f>
        <v>1.0134865134865134</v>
      </c>
      <c r="G38" s="6">
        <f>[280]Tasas!$B$35</f>
        <v>0.97347480106100792</v>
      </c>
    </row>
    <row r="39" spans="2:7" ht="15" thickBot="1" x14ac:dyDescent="0.25">
      <c r="B39" s="5" t="s">
        <v>34</v>
      </c>
      <c r="C39" s="6">
        <f>[281]Tasas!$B$36</f>
        <v>0.98884647709763274</v>
      </c>
      <c r="D39" s="6">
        <f>[281]Tasas!$B$17</f>
        <v>0.94456289978678043</v>
      </c>
      <c r="E39" s="6">
        <f>[281]Tasas!$B$28</f>
        <v>1.0177668031799567</v>
      </c>
      <c r="F39" s="6">
        <f>[281]Tasas!$B$31</f>
        <v>1.1019708654670095</v>
      </c>
      <c r="G39" s="6">
        <f>[281]Tasas!$B$35</f>
        <v>0.92018244013683015</v>
      </c>
    </row>
    <row r="40" spans="2:7" ht="15" thickBot="1" x14ac:dyDescent="0.25">
      <c r="B40" s="5" t="s">
        <v>67</v>
      </c>
      <c r="C40" s="6">
        <f>[282]Tasas!$B$36</f>
        <v>0.97293042780418548</v>
      </c>
      <c r="D40" s="6">
        <f>[282]Tasas!$B$17</f>
        <v>0.93386263201258335</v>
      </c>
      <c r="E40" s="6">
        <f>[282]Tasas!$B$28</f>
        <v>1.0094499966007207</v>
      </c>
      <c r="F40" s="6">
        <f>[282]Tasas!$B$31</f>
        <v>1.0078616352201257</v>
      </c>
      <c r="G40" s="6">
        <f>[282]Tasas!$B$35</f>
        <v>0.96272285251215561</v>
      </c>
    </row>
    <row r="41" spans="2:7" ht="15" thickBot="1" x14ac:dyDescent="0.25">
      <c r="B41" s="5" t="s">
        <v>31</v>
      </c>
      <c r="C41" s="6">
        <f>[283]Tasas!$B$36</f>
        <v>0.97555703089578338</v>
      </c>
      <c r="D41" s="6">
        <f>[283]Tasas!$B$17</f>
        <v>0.93830673274416321</v>
      </c>
      <c r="E41" s="6">
        <f>[283]Tasas!$B$28</f>
        <v>1.0075688929161559</v>
      </c>
      <c r="F41" s="6">
        <f>[283]Tasas!$B$31</f>
        <v>0.88896899783705841</v>
      </c>
      <c r="G41" s="6">
        <f>[283]Tasas!$B$35</f>
        <v>1.0120323203934656</v>
      </c>
    </row>
    <row r="42" spans="2:7" ht="15" thickBot="1" x14ac:dyDescent="0.25">
      <c r="B42" s="5" t="s">
        <v>68</v>
      </c>
      <c r="C42" s="6">
        <f>[284]Tasas!$B$36</f>
        <v>0.90714580325840377</v>
      </c>
      <c r="D42" s="6">
        <f>[284]Tasas!$B$17</f>
        <v>0.79837650710278141</v>
      </c>
      <c r="E42" s="6">
        <f>[284]Tasas!$B$28</f>
        <v>0.99526764118203803</v>
      </c>
      <c r="F42" s="6">
        <f>[284]Tasas!$B$31</f>
        <v>1.0709459459459461</v>
      </c>
      <c r="G42" s="6">
        <f>[284]Tasas!$B$35</f>
        <v>0.92751235584843494</v>
      </c>
    </row>
    <row r="43" spans="2:7" ht="15" thickBot="1" x14ac:dyDescent="0.25">
      <c r="B43" s="5" t="s">
        <v>69</v>
      </c>
      <c r="C43" s="6">
        <f>[285]Tasas!$B$36</f>
        <v>0.97738181818181813</v>
      </c>
      <c r="D43" s="6">
        <f>[285]Tasas!$B$17</f>
        <v>0.87475289931470745</v>
      </c>
      <c r="E43" s="6">
        <f>[285]Tasas!$B$28</f>
        <v>1.0178159931212383</v>
      </c>
      <c r="F43" s="6">
        <f>[285]Tasas!$B$31</f>
        <v>1.3654085441725425</v>
      </c>
      <c r="G43" s="6">
        <f>[285]Tasas!$B$35</f>
        <v>1.0226213221245701</v>
      </c>
    </row>
    <row r="44" spans="2:7" ht="15" thickBot="1" x14ac:dyDescent="0.25">
      <c r="B44" s="5" t="s">
        <v>70</v>
      </c>
      <c r="C44" s="6">
        <f>[286]Tasas!$B$36</f>
        <v>0.96997424368097085</v>
      </c>
      <c r="D44" s="6">
        <f>[286]Tasas!$B$17</f>
        <v>0.91873671554629965</v>
      </c>
      <c r="E44" s="6">
        <f>[286]Tasas!$B$28</f>
        <v>1.0015363900013809</v>
      </c>
      <c r="F44" s="6">
        <f>[286]Tasas!$B$31</f>
        <v>1.1006381934216987</v>
      </c>
      <c r="G44" s="6">
        <f>[286]Tasas!$B$35</f>
        <v>1.0065056924809208</v>
      </c>
    </row>
    <row r="45" spans="2:7" ht="15" thickBot="1" x14ac:dyDescent="0.25">
      <c r="B45" s="5" t="s">
        <v>71</v>
      </c>
      <c r="C45" s="6">
        <f>[287]Tasas!$B$36</f>
        <v>0.94951233505450372</v>
      </c>
      <c r="D45" s="6">
        <f>[287]Tasas!$B$17</f>
        <v>0.91229090909090904</v>
      </c>
      <c r="E45" s="6">
        <f>[287]Tasas!$B$28</f>
        <v>0.98827514330380406</v>
      </c>
      <c r="F45" s="6">
        <f>[287]Tasas!$B$31</f>
        <v>1.3358070500927643</v>
      </c>
      <c r="G45" s="6">
        <f>[287]Tasas!$B$35</f>
        <v>0.78130409694171954</v>
      </c>
    </row>
    <row r="46" spans="2:7" ht="15" thickBot="1" x14ac:dyDescent="0.25">
      <c r="B46" s="5" t="s">
        <v>72</v>
      </c>
      <c r="C46" s="6">
        <f>[288]Tasas!$B$36</f>
        <v>0.94521341329306019</v>
      </c>
      <c r="D46" s="6">
        <f>[288]Tasas!$B$17</f>
        <v>0.83246694419878775</v>
      </c>
      <c r="E46" s="6">
        <f>[288]Tasas!$B$28</f>
        <v>1.0202425117645595</v>
      </c>
      <c r="F46" s="6">
        <f>[288]Tasas!$B$31</f>
        <v>0.86296823138928402</v>
      </c>
      <c r="G46" s="6">
        <f>[288]Tasas!$B$35</f>
        <v>0.86287141730212991</v>
      </c>
    </row>
    <row r="47" spans="2:7" ht="15" thickBot="1" x14ac:dyDescent="0.25">
      <c r="B47" s="5" t="s">
        <v>5</v>
      </c>
      <c r="C47" s="6">
        <f>[289]Tasas!$B$36</f>
        <v>0.96676523436947326</v>
      </c>
      <c r="D47" s="6">
        <f>[289]Tasas!$B$17</f>
        <v>0.92954953253376149</v>
      </c>
      <c r="E47" s="6">
        <f>[289]Tasas!$B$28</f>
        <v>1.0014488379112587</v>
      </c>
      <c r="F47" s="6">
        <f>[289]Tasas!$B$31</f>
        <v>1.058139534883721</v>
      </c>
      <c r="G47" s="6">
        <f>[289]Tasas!$B$35</f>
        <v>0.9519725557461407</v>
      </c>
    </row>
    <row r="48" spans="2:7" ht="15" thickBot="1" x14ac:dyDescent="0.25">
      <c r="B48" s="5" t="s">
        <v>73</v>
      </c>
      <c r="C48" s="6">
        <f>[290]Tasas!$B$36</f>
        <v>1.0189173643509939</v>
      </c>
      <c r="D48" s="6">
        <f>[290]Tasas!$B$17</f>
        <v>1.0077976087333218</v>
      </c>
      <c r="E48" s="6">
        <f>[290]Tasas!$B$28</f>
        <v>1.0448857766042934</v>
      </c>
      <c r="F48" s="6">
        <f>[290]Tasas!$B$31</f>
        <v>0.8666666666666667</v>
      </c>
      <c r="G48" s="6">
        <f>[290]Tasas!$B$35</f>
        <v>0.88645161290322583</v>
      </c>
    </row>
    <row r="49" spans="2:7" ht="15" thickBot="1" x14ac:dyDescent="0.25">
      <c r="B49" s="5" t="s">
        <v>74</v>
      </c>
      <c r="C49" s="6">
        <f>[291]Tasas!$B$36</f>
        <v>1.0008355154010673</v>
      </c>
      <c r="D49" s="6">
        <f>[291]Tasas!$B$17</f>
        <v>0.90796983519380203</v>
      </c>
      <c r="E49" s="6">
        <f>[291]Tasas!$B$28</f>
        <v>1.0246083609968613</v>
      </c>
      <c r="F49" s="6">
        <f>[291]Tasas!$B$31</f>
        <v>1.5384864689677524</v>
      </c>
      <c r="G49" s="6">
        <f>[291]Tasas!$B$35</f>
        <v>1.1059175685010361</v>
      </c>
    </row>
    <row r="50" spans="2:7" ht="15" thickBot="1" x14ac:dyDescent="0.25">
      <c r="B50" s="5" t="s">
        <v>75</v>
      </c>
      <c r="C50" s="6">
        <f>[292]Tasas!$B$36</f>
        <v>0.95745172852352878</v>
      </c>
      <c r="D50" s="6">
        <f>[292]Tasas!$B$17</f>
        <v>0.97563946406820945</v>
      </c>
      <c r="E50" s="6">
        <f>[292]Tasas!$B$28</f>
        <v>0.93092719352831366</v>
      </c>
      <c r="F50" s="6">
        <f>[292]Tasas!$B$31</f>
        <v>1.0641025641025641</v>
      </c>
      <c r="G50" s="6">
        <f>[292]Tasas!$B$35</f>
        <v>1.0902061855670102</v>
      </c>
    </row>
    <row r="51" spans="2:7" ht="15" thickBot="1" x14ac:dyDescent="0.25">
      <c r="B51" s="5" t="s">
        <v>76</v>
      </c>
      <c r="C51" s="6">
        <f>[293]Tasas!$B$36</f>
        <v>0.97068428152765507</v>
      </c>
      <c r="D51" s="6">
        <f>[293]Tasas!$B$17</f>
        <v>0.88297489551329955</v>
      </c>
      <c r="E51" s="6">
        <f>[293]Tasas!$B$28</f>
        <v>1.0189538218735299</v>
      </c>
      <c r="F51" s="6">
        <f>[293]Tasas!$B$31</f>
        <v>0.93458870168483643</v>
      </c>
      <c r="G51" s="6">
        <f>[293]Tasas!$B$35</f>
        <v>0.97617977528089883</v>
      </c>
    </row>
    <row r="52" spans="2:7" ht="15" thickBot="1" x14ac:dyDescent="0.25">
      <c r="B52" s="5" t="s">
        <v>77</v>
      </c>
      <c r="C52" s="6">
        <f>[294]Tasas!$B$36</f>
        <v>0.9750698251784421</v>
      </c>
      <c r="D52" s="6">
        <f>[294]Tasas!$B$17</f>
        <v>0.93853820598006643</v>
      </c>
      <c r="E52" s="6">
        <f>[294]Tasas!$B$28</f>
        <v>0.99967159277504103</v>
      </c>
      <c r="F52" s="6">
        <f>[294]Tasas!$B$31</f>
        <v>0.90306122448979587</v>
      </c>
      <c r="G52" s="6">
        <f>[294]Tasas!$B$35</f>
        <v>0.90566037735849059</v>
      </c>
    </row>
    <row r="53" spans="2:7" ht="15" thickBot="1" x14ac:dyDescent="0.25">
      <c r="B53" s="5" t="s">
        <v>78</v>
      </c>
      <c r="C53" s="6">
        <f>[295]Tasas!$B$36</f>
        <v>0.93326402073350812</v>
      </c>
      <c r="D53" s="6">
        <f>[295]Tasas!$B$17</f>
        <v>0.84907245106631613</v>
      </c>
      <c r="E53" s="6">
        <f>[295]Tasas!$B$28</f>
        <v>0.9903451885887109</v>
      </c>
      <c r="F53" s="6">
        <f>[295]Tasas!$B$31</f>
        <v>1.0939104915627293</v>
      </c>
      <c r="G53" s="6">
        <f>[295]Tasas!$B$35</f>
        <v>0.97153465346534651</v>
      </c>
    </row>
    <row r="54" spans="2:7" ht="15" thickBot="1" x14ac:dyDescent="0.25">
      <c r="B54" s="5" t="s">
        <v>79</v>
      </c>
      <c r="C54" s="6">
        <f>[296]Tasas!$B$36</f>
        <v>0.97856432004891403</v>
      </c>
      <c r="D54" s="6">
        <f>[296]Tasas!$B$17</f>
        <v>0.93881144159699248</v>
      </c>
      <c r="E54" s="6">
        <f>[296]Tasas!$B$28</f>
        <v>1.0093053909594409</v>
      </c>
      <c r="F54" s="6">
        <f>[296]Tasas!$B$31</f>
        <v>0.80839141724750585</v>
      </c>
      <c r="G54" s="6">
        <f>[296]Tasas!$B$35</f>
        <v>1.02708987327055</v>
      </c>
    </row>
    <row r="55" spans="2:7" ht="15" thickBot="1" x14ac:dyDescent="0.25">
      <c r="B55" s="5" t="s">
        <v>80</v>
      </c>
      <c r="C55" s="6">
        <f>[297]Tasas!$B$36</f>
        <v>0.94980954514900295</v>
      </c>
      <c r="D55" s="6">
        <f>[297]Tasas!$B$17</f>
        <v>0.89656862745098043</v>
      </c>
      <c r="E55" s="6">
        <f>[297]Tasas!$B$28</f>
        <v>1.018340538045075</v>
      </c>
      <c r="F55" s="6">
        <f>[297]Tasas!$B$31</f>
        <v>1.048462255358807</v>
      </c>
      <c r="G55" s="6">
        <f>[297]Tasas!$B$35</f>
        <v>0.84554597701149425</v>
      </c>
    </row>
    <row r="56" spans="2:7" ht="15" thickBot="1" x14ac:dyDescent="0.25">
      <c r="B56" s="5" t="s">
        <v>81</v>
      </c>
      <c r="C56" s="6">
        <f>[298]Tasas!$B$36</f>
        <v>0.94459055645108081</v>
      </c>
      <c r="D56" s="6">
        <f>[298]Tasas!$B$17</f>
        <v>0.91988760813292325</v>
      </c>
      <c r="E56" s="6">
        <f>[298]Tasas!$B$28</f>
        <v>1.0314862908230102</v>
      </c>
      <c r="F56" s="6">
        <f>[298]Tasas!$B$31</f>
        <v>0.52609844730756528</v>
      </c>
      <c r="G56" s="6">
        <f>[298]Tasas!$B$35</f>
        <v>0.9330329534411167</v>
      </c>
    </row>
    <row r="57" spans="2:7" ht="15" thickBot="1" x14ac:dyDescent="0.25">
      <c r="B57" s="5" t="s">
        <v>82</v>
      </c>
      <c r="C57" s="6">
        <f>[299]Tasas!$B$36</f>
        <v>0.9451403887688985</v>
      </c>
      <c r="D57" s="6">
        <f>[299]Tasas!$B$17</f>
        <v>0.91048034934497812</v>
      </c>
      <c r="E57" s="6">
        <f>[299]Tasas!$B$28</f>
        <v>0.99748606405071594</v>
      </c>
      <c r="F57" s="6">
        <f>[299]Tasas!$B$31</f>
        <v>0.9353932584269663</v>
      </c>
      <c r="G57" s="6">
        <f>[299]Tasas!$B$35</f>
        <v>0.77786818551668024</v>
      </c>
    </row>
    <row r="58" spans="2:7" ht="15" thickBot="1" x14ac:dyDescent="0.25">
      <c r="B58" s="5" t="s">
        <v>83</v>
      </c>
      <c r="C58" s="6">
        <f>[300]Tasas!$B$36</f>
        <v>0.95126375287424769</v>
      </c>
      <c r="D58" s="6">
        <f>[300]Tasas!$B$17</f>
        <v>0.86898715267403648</v>
      </c>
      <c r="E58" s="6">
        <f>[300]Tasas!$B$28</f>
        <v>0.99948773877982677</v>
      </c>
      <c r="F58" s="6">
        <f>[300]Tasas!$B$31</f>
        <v>0.92647789369100841</v>
      </c>
      <c r="G58" s="6">
        <f>[300]Tasas!$B$35</f>
        <v>1.0187132694092174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DDE66-D9CB-429E-B47F-DD2AE61C8B3C}">
  <dimension ref="B7:G58"/>
  <sheetViews>
    <sheetView workbookViewId="0">
      <selection activeCell="A2" sqref="A2"/>
    </sheetView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f>[301]Tasas!$B$36</f>
        <v>1.0211778357992458</v>
      </c>
      <c r="D9" s="6">
        <f>[301]Tasas!$B$17</f>
        <v>0.99991150442477872</v>
      </c>
      <c r="E9" s="6">
        <f>[301]Tasas!$B$28</f>
        <v>1.0398657498362802</v>
      </c>
      <c r="F9" s="6">
        <f>[301]Tasas!$B$31</f>
        <v>0.93069306930693074</v>
      </c>
      <c r="G9" s="6">
        <f>[301]Tasas!$B$35</f>
        <v>1.068802329814343</v>
      </c>
    </row>
    <row r="10" spans="2:7" s="8" customFormat="1" ht="20.100000000000001" customHeight="1" thickBot="1" x14ac:dyDescent="0.25">
      <c r="B10" s="5" t="s">
        <v>40</v>
      </c>
      <c r="C10" s="6">
        <f>[302]Tasas!$B$36</f>
        <v>1.0491076316653893</v>
      </c>
      <c r="D10" s="6">
        <f>[302]Tasas!$B$17</f>
        <v>1.0866625691456668</v>
      </c>
      <c r="E10" s="6">
        <f>[302]Tasas!$B$28</f>
        <v>1.0431985294117647</v>
      </c>
      <c r="F10" s="6">
        <f>[302]Tasas!$B$31</f>
        <v>0.92746113989637302</v>
      </c>
      <c r="G10" s="6">
        <f>[302]Tasas!$B$35</f>
        <v>0.91682563906905756</v>
      </c>
    </row>
    <row r="11" spans="2:7" s="8" customFormat="1" ht="20.100000000000001" customHeight="1" thickBot="1" x14ac:dyDescent="0.25">
      <c r="B11" s="5" t="s">
        <v>41</v>
      </c>
      <c r="C11" s="6">
        <f>[303]Tasas!$B$36</f>
        <v>1.0683501699197717</v>
      </c>
      <c r="D11" s="6">
        <f>[303]Tasas!$B$17</f>
        <v>1.0503276738948912</v>
      </c>
      <c r="E11" s="6">
        <f>[303]Tasas!$B$28</f>
        <v>1.071692880760742</v>
      </c>
      <c r="F11" s="6">
        <f>[303]Tasas!$B$31</f>
        <v>1.1073844419391206</v>
      </c>
      <c r="G11" s="6">
        <f>[303]Tasas!$B$35</f>
        <v>1.1558454491137224</v>
      </c>
    </row>
    <row r="12" spans="2:7" s="8" customFormat="1" ht="20.100000000000001" customHeight="1" thickBot="1" x14ac:dyDescent="0.25">
      <c r="B12" s="5" t="s">
        <v>42</v>
      </c>
      <c r="C12" s="6">
        <f>[304]Tasas!$B$36</f>
        <v>1.0444246561788859</v>
      </c>
      <c r="D12" s="6">
        <f>[304]Tasas!$B$17</f>
        <v>1.088713439799031</v>
      </c>
      <c r="E12" s="6">
        <f>[304]Tasas!$B$28</f>
        <v>1.0203581287229406</v>
      </c>
      <c r="F12" s="6">
        <f>[304]Tasas!$B$31</f>
        <v>1.0098408104196817</v>
      </c>
      <c r="G12" s="6">
        <f>[304]Tasas!$B$35</f>
        <v>1.0904127538763921</v>
      </c>
    </row>
    <row r="13" spans="2:7" s="8" customFormat="1" ht="20.100000000000001" customHeight="1" thickBot="1" x14ac:dyDescent="0.25">
      <c r="B13" s="5" t="s">
        <v>43</v>
      </c>
      <c r="C13" s="6">
        <f>[305]Tasas!$B$36</f>
        <v>1.0767069744717235</v>
      </c>
      <c r="D13" s="6">
        <f>[305]Tasas!$B$17</f>
        <v>1.210009953078345</v>
      </c>
      <c r="E13" s="6">
        <f>[305]Tasas!$B$28</f>
        <v>0.97473979651502751</v>
      </c>
      <c r="F13" s="6">
        <f>[305]Tasas!$B$31</f>
        <v>1.0751173708920188</v>
      </c>
      <c r="G13" s="6">
        <f>[305]Tasas!$B$35</f>
        <v>0.96360485268630847</v>
      </c>
    </row>
    <row r="14" spans="2:7" s="8" customFormat="1" ht="20.100000000000001" customHeight="1" thickBot="1" x14ac:dyDescent="0.25">
      <c r="B14" s="5" t="s">
        <v>44</v>
      </c>
      <c r="C14" s="6">
        <f>[306]Tasas!$B$36</f>
        <v>1.0265251200618524</v>
      </c>
      <c r="D14" s="6">
        <f>[306]Tasas!$B$17</f>
        <v>0.99151546795457512</v>
      </c>
      <c r="E14" s="6">
        <f>[306]Tasas!$B$28</f>
        <v>1.0364072215147202</v>
      </c>
      <c r="F14" s="6">
        <f>[306]Tasas!$B$31</f>
        <v>0.94830827067669177</v>
      </c>
      <c r="G14" s="6">
        <f>[306]Tasas!$B$35</f>
        <v>1.182105595953209</v>
      </c>
    </row>
    <row r="15" spans="2:7" s="8" customFormat="1" ht="20.100000000000001" customHeight="1" thickBot="1" x14ac:dyDescent="0.25">
      <c r="B15" s="5" t="s">
        <v>45</v>
      </c>
      <c r="C15" s="6">
        <f>[307]Tasas!$B$36</f>
        <v>1.0241976566479878</v>
      </c>
      <c r="D15" s="6">
        <f>[307]Tasas!$B$17</f>
        <v>1.0017458535977055</v>
      </c>
      <c r="E15" s="6">
        <f>[307]Tasas!$B$28</f>
        <v>1.0310001056821785</v>
      </c>
      <c r="F15" s="6">
        <f>[307]Tasas!$B$31</f>
        <v>1.0388548057259714</v>
      </c>
      <c r="G15" s="6">
        <f>[307]Tasas!$B$35</f>
        <v>1.1015561015561015</v>
      </c>
    </row>
    <row r="16" spans="2:7" s="8" customFormat="1" ht="20.100000000000001" customHeight="1" thickBot="1" x14ac:dyDescent="0.25">
      <c r="B16" s="5" t="s">
        <v>46</v>
      </c>
      <c r="C16" s="6">
        <f>[308]Tasas!$B$36</f>
        <v>1.0137648429356823</v>
      </c>
      <c r="D16" s="6">
        <f>[308]Tasas!$B$17</f>
        <v>0.96977757523053953</v>
      </c>
      <c r="E16" s="6">
        <f>[308]Tasas!$B$28</f>
        <v>1.0332264835073119</v>
      </c>
      <c r="F16" s="6">
        <f>[308]Tasas!$B$31</f>
        <v>1.0937385124372012</v>
      </c>
      <c r="G16" s="6">
        <f>[308]Tasas!$B$35</f>
        <v>1.0758388763878242</v>
      </c>
    </row>
    <row r="17" spans="2:7" s="8" customFormat="1" ht="20.100000000000001" customHeight="1" thickBot="1" x14ac:dyDescent="0.25">
      <c r="B17" s="5" t="s">
        <v>47</v>
      </c>
      <c r="C17" s="6">
        <f>[309]Tasas!$B$36</f>
        <v>1.0117750019890206</v>
      </c>
      <c r="D17" s="6">
        <f>[309]Tasas!$B$17</f>
        <v>1.0093146586891488</v>
      </c>
      <c r="E17" s="6">
        <f>[309]Tasas!$B$28</f>
        <v>1.0038863372533184</v>
      </c>
      <c r="F17" s="6">
        <f>[309]Tasas!$B$31</f>
        <v>1.2468354430379747</v>
      </c>
      <c r="G17" s="6">
        <f>[309]Tasas!$B$35</f>
        <v>1.0146076794657763</v>
      </c>
    </row>
    <row r="18" spans="2:7" s="8" customFormat="1" ht="20.100000000000001" customHeight="1" thickBot="1" x14ac:dyDescent="0.25">
      <c r="B18" s="5" t="s">
        <v>48</v>
      </c>
      <c r="C18" s="6">
        <f>[310]Tasas!$B$36</f>
        <v>1.0034912450316897</v>
      </c>
      <c r="D18" s="6">
        <f>[310]Tasas!$B$17</f>
        <v>0.96673791076676463</v>
      </c>
      <c r="E18" s="6">
        <f>[310]Tasas!$B$28</f>
        <v>1.0409729837503738</v>
      </c>
      <c r="F18" s="6">
        <f>[310]Tasas!$B$31</f>
        <v>0.87308868501529047</v>
      </c>
      <c r="G18" s="6">
        <f>[310]Tasas!$B$35</f>
        <v>0.92829457364341084</v>
      </c>
    </row>
    <row r="19" spans="2:7" s="8" customFormat="1" ht="20.100000000000001" customHeight="1" thickBot="1" x14ac:dyDescent="0.25">
      <c r="B19" s="5" t="s">
        <v>49</v>
      </c>
      <c r="C19" s="6">
        <f>[311]Tasas!$B$36</f>
        <v>1.0161890865940559</v>
      </c>
      <c r="D19" s="6">
        <f>[311]Tasas!$B$17</f>
        <v>0.97557412967621526</v>
      </c>
      <c r="E19" s="6">
        <f>[311]Tasas!$B$28</f>
        <v>1.0367554999105706</v>
      </c>
      <c r="F19" s="6">
        <f>[311]Tasas!$B$31</f>
        <v>1.0383029658199228</v>
      </c>
      <c r="G19" s="6">
        <f>[311]Tasas!$B$35</f>
        <v>0.98588814085965826</v>
      </c>
    </row>
    <row r="20" spans="2:7" s="8" customFormat="1" ht="20.100000000000001" customHeight="1" thickBot="1" x14ac:dyDescent="0.25">
      <c r="B20" s="5" t="s">
        <v>50</v>
      </c>
      <c r="C20" s="6">
        <f>[312]Tasas!$B$36</f>
        <v>1.1112255881900661</v>
      </c>
      <c r="D20" s="6">
        <f>[312]Tasas!$B$17</f>
        <v>1.1437091735302471</v>
      </c>
      <c r="E20" s="6">
        <f>[312]Tasas!$B$28</f>
        <v>1.087115165336374</v>
      </c>
      <c r="F20" s="6">
        <f>[312]Tasas!$B$31</f>
        <v>1.0272727272727273</v>
      </c>
      <c r="G20" s="6">
        <f>[312]Tasas!$B$35</f>
        <v>1.1538858765814615</v>
      </c>
    </row>
    <row r="21" spans="2:7" s="8" customFormat="1" ht="20.100000000000001" customHeight="1" thickBot="1" x14ac:dyDescent="0.25">
      <c r="B21" s="5" t="s">
        <v>51</v>
      </c>
      <c r="C21" s="6">
        <f>[313]Tasas!$B$36</f>
        <v>1.0070926009986383</v>
      </c>
      <c r="D21" s="6">
        <f>[313]Tasas!$B$17</f>
        <v>0.99069081001305559</v>
      </c>
      <c r="E21" s="6">
        <f>[313]Tasas!$B$28</f>
        <v>1.018517348164065</v>
      </c>
      <c r="F21" s="6">
        <f>[313]Tasas!$B$31</f>
        <v>0.99249061326658328</v>
      </c>
      <c r="G21" s="6">
        <f>[313]Tasas!$B$35</f>
        <v>0.98540925266903912</v>
      </c>
    </row>
    <row r="22" spans="2:7" s="8" customFormat="1" ht="15" thickBot="1" x14ac:dyDescent="0.25">
      <c r="B22" s="5" t="s">
        <v>52</v>
      </c>
      <c r="C22" s="6">
        <f>[314]Tasas!$B$36</f>
        <v>1.0171098633329803</v>
      </c>
      <c r="D22" s="6">
        <f>[314]Tasas!$B$17</f>
        <v>0.98162962962962963</v>
      </c>
      <c r="E22" s="6">
        <f>[314]Tasas!$B$28</f>
        <v>1.0291627156427277</v>
      </c>
      <c r="F22" s="6">
        <f>[314]Tasas!$B$31</f>
        <v>1.2425453427605286</v>
      </c>
      <c r="G22" s="6">
        <f>[314]Tasas!$B$35</f>
        <v>0.89294585196224541</v>
      </c>
    </row>
    <row r="23" spans="2:7" s="8" customFormat="1" ht="20.100000000000001" customHeight="1" thickBot="1" x14ac:dyDescent="0.25">
      <c r="B23" s="5" t="s">
        <v>53</v>
      </c>
      <c r="C23" s="6">
        <f>[315]Tasas!$B$36</f>
        <v>1.0286752792517853</v>
      </c>
      <c r="D23" s="6">
        <f>[315]Tasas!$B$17</f>
        <v>1.0018736498699468</v>
      </c>
      <c r="E23" s="6">
        <f>[315]Tasas!$B$28</f>
        <v>1.053988495391226</v>
      </c>
      <c r="F23" s="6">
        <f>[315]Tasas!$B$31</f>
        <v>1.115</v>
      </c>
      <c r="G23" s="6">
        <f>[315]Tasas!$B$35</f>
        <v>0.98098211751348285</v>
      </c>
    </row>
    <row r="24" spans="2:7" s="8" customFormat="1" ht="20.100000000000001" customHeight="1" thickBot="1" x14ac:dyDescent="0.25">
      <c r="B24" s="5" t="s">
        <v>54</v>
      </c>
      <c r="C24" s="6">
        <f>[316]Tasas!$B$36</f>
        <v>1.0067922027721024</v>
      </c>
      <c r="D24" s="6">
        <f>[316]Tasas!$B$17</f>
        <v>0.91242527064146062</v>
      </c>
      <c r="E24" s="6">
        <f>[316]Tasas!$B$28</f>
        <v>1.0624520337682273</v>
      </c>
      <c r="F24" s="6">
        <f>[316]Tasas!$B$31</f>
        <v>0.90689013035381749</v>
      </c>
      <c r="G24" s="6">
        <f>[316]Tasas!$B$35</f>
        <v>1.0667361835245046</v>
      </c>
    </row>
    <row r="25" spans="2:7" s="8" customFormat="1" ht="20.100000000000001" customHeight="1" thickBot="1" x14ac:dyDescent="0.25">
      <c r="B25" s="5" t="s">
        <v>55</v>
      </c>
      <c r="C25" s="6">
        <f>[317]Tasas!$B$36</f>
        <v>1.0176818052281147</v>
      </c>
      <c r="D25" s="6">
        <f>[317]Tasas!$B$17</f>
        <v>0.97572873289708506</v>
      </c>
      <c r="E25" s="6">
        <f>[317]Tasas!$B$28</f>
        <v>1.036971459887863</v>
      </c>
      <c r="F25" s="6">
        <f>[317]Tasas!$B$31</f>
        <v>0.97286184210526316</v>
      </c>
      <c r="G25" s="6">
        <f>[317]Tasas!$B$35</f>
        <v>1.0769924812030076</v>
      </c>
    </row>
    <row r="26" spans="2:7" s="8" customFormat="1" ht="20.100000000000001" customHeight="1" thickBot="1" x14ac:dyDescent="0.25">
      <c r="B26" s="5" t="s">
        <v>56</v>
      </c>
      <c r="C26" s="6">
        <f>[318]Tasas!$B$36</f>
        <v>1.0090546829155125</v>
      </c>
      <c r="D26" s="6">
        <f>[318]Tasas!$B$17</f>
        <v>0.98646973765750878</v>
      </c>
      <c r="E26" s="6">
        <f>[318]Tasas!$B$28</f>
        <v>1.0230297996054407</v>
      </c>
      <c r="F26" s="6">
        <f>[318]Tasas!$B$31</f>
        <v>1.1543606206527555</v>
      </c>
      <c r="G26" s="6">
        <f>[318]Tasas!$B$35</f>
        <v>0.87863203908459764</v>
      </c>
    </row>
    <row r="27" spans="2:7" ht="15" thickBot="1" x14ac:dyDescent="0.25">
      <c r="B27" s="5" t="s">
        <v>57</v>
      </c>
      <c r="C27" s="6">
        <f>[319]Tasas!$B$36</f>
        <v>1.0051464435146444</v>
      </c>
      <c r="D27" s="6">
        <f>[319]Tasas!$B$17</f>
        <v>0.97418817651956702</v>
      </c>
      <c r="E27" s="6">
        <f>[319]Tasas!$B$28</f>
        <v>1.0161755771567436</v>
      </c>
      <c r="F27" s="6">
        <f>[319]Tasas!$B$31</f>
        <v>1.3614678899082568</v>
      </c>
      <c r="G27" s="6">
        <f>[319]Tasas!$B$35</f>
        <v>0.9606741573033708</v>
      </c>
    </row>
    <row r="28" spans="2:7" ht="15" thickBot="1" x14ac:dyDescent="0.25">
      <c r="B28" s="5" t="s">
        <v>58</v>
      </c>
      <c r="C28" s="6">
        <f>[320]Tasas!$B$36</f>
        <v>1.0239523223914484</v>
      </c>
      <c r="D28" s="6">
        <f>[320]Tasas!$B$17</f>
        <v>0.99090699815837935</v>
      </c>
      <c r="E28" s="6">
        <f>[320]Tasas!$B$28</f>
        <v>1.0322115706911577</v>
      </c>
      <c r="F28" s="6">
        <f>[320]Tasas!$B$31</f>
        <v>0.97668221185876081</v>
      </c>
      <c r="G28" s="6">
        <f>[320]Tasas!$B$35</f>
        <v>1.1201737451737452</v>
      </c>
    </row>
    <row r="29" spans="2:7" ht="15" thickBot="1" x14ac:dyDescent="0.25">
      <c r="B29" s="5" t="s">
        <v>59</v>
      </c>
      <c r="C29" s="6">
        <f>[321]Tasas!$B$36</f>
        <v>1.0231051577146366</v>
      </c>
      <c r="D29" s="6">
        <f>[321]Tasas!$B$17</f>
        <v>0.99076188499065809</v>
      </c>
      <c r="E29" s="6">
        <f>[321]Tasas!$B$28</f>
        <v>1.0281614684027858</v>
      </c>
      <c r="F29" s="6">
        <f>[321]Tasas!$B$31</f>
        <v>1.0827309236947791</v>
      </c>
      <c r="G29" s="6">
        <f>[321]Tasas!$B$35</f>
        <v>1.0928532755820248</v>
      </c>
    </row>
    <row r="30" spans="2:7" ht="15" thickBot="1" x14ac:dyDescent="0.25">
      <c r="B30" s="5" t="s">
        <v>60</v>
      </c>
      <c r="C30" s="6">
        <f>[322]Tasas!$B$36</f>
        <v>1.0287297652034417</v>
      </c>
      <c r="D30" s="6">
        <f>[322]Tasas!$B$17</f>
        <v>1.0125821333706138</v>
      </c>
      <c r="E30" s="6">
        <f>[322]Tasas!$B$28</f>
        <v>1.0339753657931718</v>
      </c>
      <c r="F30" s="6">
        <f>[322]Tasas!$B$31</f>
        <v>0.90549828178694158</v>
      </c>
      <c r="G30" s="6">
        <f>[322]Tasas!$B$35</f>
        <v>1.1962110960757781</v>
      </c>
    </row>
    <row r="31" spans="2:7" ht="15" thickBot="1" x14ac:dyDescent="0.25">
      <c r="B31" s="5" t="s">
        <v>61</v>
      </c>
      <c r="C31" s="6">
        <f>[323]Tasas!$B$36</f>
        <v>1.0175038757635586</v>
      </c>
      <c r="D31" s="6">
        <f>[323]Tasas!$B$17</f>
        <v>1.0041707671399784</v>
      </c>
      <c r="E31" s="6">
        <f>[323]Tasas!$B$28</f>
        <v>1.0289715835094686</v>
      </c>
      <c r="F31" s="6">
        <f>[323]Tasas!$B$31</f>
        <v>0.89414071008494878</v>
      </c>
      <c r="G31" s="6">
        <f>[323]Tasas!$B$35</f>
        <v>1.1337037037037037</v>
      </c>
    </row>
    <row r="32" spans="2:7" ht="15" thickBot="1" x14ac:dyDescent="0.25">
      <c r="B32" s="5" t="s">
        <v>62</v>
      </c>
      <c r="C32" s="6">
        <f>[324]Tasas!$B$36</f>
        <v>1.0350833445226633</v>
      </c>
      <c r="D32" s="6">
        <f>[324]Tasas!$B$17</f>
        <v>1.0690900671451724</v>
      </c>
      <c r="E32" s="6">
        <f>[324]Tasas!$B$28</f>
        <v>1.0210568136670639</v>
      </c>
      <c r="F32" s="6">
        <f>[324]Tasas!$B$31</f>
        <v>1.1438923395445135</v>
      </c>
      <c r="G32" s="6">
        <f>[324]Tasas!$B$35</f>
        <v>0.92457973648341663</v>
      </c>
    </row>
    <row r="33" spans="2:7" ht="15" thickBot="1" x14ac:dyDescent="0.25">
      <c r="B33" s="5" t="s">
        <v>63</v>
      </c>
      <c r="C33" s="6">
        <f>[325]Tasas!$B$36</f>
        <v>1.0565406574612037</v>
      </c>
      <c r="D33" s="6">
        <f>[325]Tasas!$B$17</f>
        <v>1.0265022675736961</v>
      </c>
      <c r="E33" s="6">
        <f>[325]Tasas!$B$28</f>
        <v>1.0490003417634997</v>
      </c>
      <c r="F33" s="6">
        <f>[325]Tasas!$B$31</f>
        <v>1.5591397849462365</v>
      </c>
      <c r="G33" s="6">
        <f>[325]Tasas!$B$35</f>
        <v>1.2468768590124926</v>
      </c>
    </row>
    <row r="34" spans="2:7" ht="15" thickBot="1" x14ac:dyDescent="0.25">
      <c r="B34" s="5" t="s">
        <v>64</v>
      </c>
      <c r="C34" s="6">
        <f>[326]Tasas!$B$36</f>
        <v>1.0772294841054992</v>
      </c>
      <c r="D34" s="6">
        <f>[326]Tasas!$B$17</f>
        <v>1.1012199434229137</v>
      </c>
      <c r="E34" s="6">
        <f>[326]Tasas!$B$28</f>
        <v>1.0131082933516107</v>
      </c>
      <c r="F34" s="6">
        <f>[326]Tasas!$B$31</f>
        <v>1.7322485207100591</v>
      </c>
      <c r="G34" s="6">
        <f>[326]Tasas!$B$35</f>
        <v>1.0928116469517744</v>
      </c>
    </row>
    <row r="35" spans="2:7" ht="15" thickBot="1" x14ac:dyDescent="0.25">
      <c r="B35" s="5" t="s">
        <v>65</v>
      </c>
      <c r="C35" s="6">
        <f>[327]Tasas!$B$36</f>
        <v>0.99326062639821033</v>
      </c>
      <c r="D35" s="6">
        <f>[327]Tasas!$B$17</f>
        <v>0.96278128163201748</v>
      </c>
      <c r="E35" s="6">
        <f>[327]Tasas!$B$28</f>
        <v>1.01045848299176</v>
      </c>
      <c r="F35" s="6">
        <f>[327]Tasas!$B$31</f>
        <v>1.0726895119418485</v>
      </c>
      <c r="G35" s="6">
        <f>[327]Tasas!$B$35</f>
        <v>0.98974189278623426</v>
      </c>
    </row>
    <row r="36" spans="2:7" ht="15" thickBot="1" x14ac:dyDescent="0.25">
      <c r="B36" s="5" t="s">
        <v>32</v>
      </c>
      <c r="C36" s="6">
        <f>[328]Tasas!$B$36</f>
        <v>1.0697524332779096</v>
      </c>
      <c r="D36" s="6">
        <f>[328]Tasas!$B$17</f>
        <v>1.0642406731063356</v>
      </c>
      <c r="E36" s="6">
        <f>[328]Tasas!$B$28</f>
        <v>1.0574749489480932</v>
      </c>
      <c r="F36" s="6">
        <f>[328]Tasas!$B$31</f>
        <v>1.4629919289244822</v>
      </c>
      <c r="G36" s="6">
        <f>[328]Tasas!$B$35</f>
        <v>1.0770303574498978</v>
      </c>
    </row>
    <row r="37" spans="2:7" ht="15" thickBot="1" x14ac:dyDescent="0.25">
      <c r="B37" s="5" t="s">
        <v>66</v>
      </c>
      <c r="C37" s="6">
        <f>[329]Tasas!$B$36</f>
        <v>1.0262618891943345</v>
      </c>
      <c r="D37" s="6">
        <f>[329]Tasas!$B$17</f>
        <v>1.0044370417901074</v>
      </c>
      <c r="E37" s="6">
        <f>[329]Tasas!$B$28</f>
        <v>1.0231352472296027</v>
      </c>
      <c r="F37" s="6">
        <f>[329]Tasas!$B$31</f>
        <v>1.4038338658146965</v>
      </c>
      <c r="G37" s="6">
        <f>[329]Tasas!$B$35</f>
        <v>1.0109483042476128</v>
      </c>
    </row>
    <row r="38" spans="2:7" ht="15" thickBot="1" x14ac:dyDescent="0.25">
      <c r="B38" s="5" t="s">
        <v>33</v>
      </c>
      <c r="C38" s="6">
        <f>[330]Tasas!$B$36</f>
        <v>1.0394297320434416</v>
      </c>
      <c r="D38" s="6">
        <f>[330]Tasas!$B$17</f>
        <v>1.0303830486096575</v>
      </c>
      <c r="E38" s="6">
        <f>[330]Tasas!$B$28</f>
        <v>1.0435412101966159</v>
      </c>
      <c r="F38" s="6">
        <f>[330]Tasas!$B$31</f>
        <v>0.89185360094451005</v>
      </c>
      <c r="G38" s="6">
        <f>[330]Tasas!$B$35</f>
        <v>1.1261107313738892</v>
      </c>
    </row>
    <row r="39" spans="2:7" ht="15" thickBot="1" x14ac:dyDescent="0.25">
      <c r="B39" s="5" t="s">
        <v>34</v>
      </c>
      <c r="C39" s="6">
        <f>[331]Tasas!$B$36</f>
        <v>1.0303679258531104</v>
      </c>
      <c r="D39" s="6">
        <f>[331]Tasas!$B$17</f>
        <v>1.0192746226517537</v>
      </c>
      <c r="E39" s="6">
        <f>[331]Tasas!$B$28</f>
        <v>1.0226897202879737</v>
      </c>
      <c r="F39" s="6">
        <f>[331]Tasas!$B$31</f>
        <v>1.0951585976627713</v>
      </c>
      <c r="G39" s="6">
        <f>[331]Tasas!$B$35</f>
        <v>1.1421965317919076</v>
      </c>
    </row>
    <row r="40" spans="2:7" ht="15" thickBot="1" x14ac:dyDescent="0.25">
      <c r="B40" s="5" t="s">
        <v>67</v>
      </c>
      <c r="C40" s="6">
        <f>[332]Tasas!$B$36</f>
        <v>1.0168933212450892</v>
      </c>
      <c r="D40" s="6">
        <f>[332]Tasas!$B$17</f>
        <v>0.97983099489795922</v>
      </c>
      <c r="E40" s="6">
        <f>[332]Tasas!$B$28</f>
        <v>1.0446859903381642</v>
      </c>
      <c r="F40" s="6">
        <f>[332]Tasas!$B$31</f>
        <v>1.0043227665706052</v>
      </c>
      <c r="G40" s="6">
        <f>[332]Tasas!$B$35</f>
        <v>1.0209599027946537</v>
      </c>
    </row>
    <row r="41" spans="2:7" ht="15" thickBot="1" x14ac:dyDescent="0.25">
      <c r="B41" s="5" t="s">
        <v>31</v>
      </c>
      <c r="C41" s="6">
        <f>[333]Tasas!$B$36</f>
        <v>1.0477369224830919</v>
      </c>
      <c r="D41" s="6">
        <f>[333]Tasas!$B$17</f>
        <v>1.0257251160611611</v>
      </c>
      <c r="E41" s="6">
        <f>[333]Tasas!$B$28</f>
        <v>1.0519298837013316</v>
      </c>
      <c r="F41" s="6">
        <f>[333]Tasas!$B$31</f>
        <v>1.0251813913785746</v>
      </c>
      <c r="G41" s="6">
        <f>[333]Tasas!$B$35</f>
        <v>1.1271933984634355</v>
      </c>
    </row>
    <row r="42" spans="2:7" ht="15" thickBot="1" x14ac:dyDescent="0.25">
      <c r="B42" s="5" t="s">
        <v>68</v>
      </c>
      <c r="C42" s="6">
        <f>[334]Tasas!$B$36</f>
        <v>1.0351796011215151</v>
      </c>
      <c r="D42" s="6">
        <f>[334]Tasas!$B$17</f>
        <v>1.0704935914916827</v>
      </c>
      <c r="E42" s="6">
        <f>[334]Tasas!$B$28</f>
        <v>1.0125173852573017</v>
      </c>
      <c r="F42" s="6">
        <f>[334]Tasas!$B$31</f>
        <v>1.0823529411764705</v>
      </c>
      <c r="G42" s="6">
        <f>[334]Tasas!$B$35</f>
        <v>0.99484092863284612</v>
      </c>
    </row>
    <row r="43" spans="2:7" ht="15" thickBot="1" x14ac:dyDescent="0.25">
      <c r="B43" s="5" t="s">
        <v>69</v>
      </c>
      <c r="C43" s="6">
        <f>[335]Tasas!$B$36</f>
        <v>1.0180281321699702</v>
      </c>
      <c r="D43" s="6">
        <f>[335]Tasas!$B$17</f>
        <v>0.97928938930728504</v>
      </c>
      <c r="E43" s="6">
        <f>[335]Tasas!$B$28</f>
        <v>1.0228056310629021</v>
      </c>
      <c r="F43" s="6">
        <f>[335]Tasas!$B$31</f>
        <v>1.3088697017268447</v>
      </c>
      <c r="G43" s="6">
        <f>[335]Tasas!$B$35</f>
        <v>1.0827847267939434</v>
      </c>
    </row>
    <row r="44" spans="2:7" ht="15" thickBot="1" x14ac:dyDescent="0.25">
      <c r="B44" s="5" t="s">
        <v>70</v>
      </c>
      <c r="C44" s="6">
        <f>[336]Tasas!$B$36</f>
        <v>1.0078976210431307</v>
      </c>
      <c r="D44" s="6">
        <f>[336]Tasas!$B$17</f>
        <v>0.97152719757266615</v>
      </c>
      <c r="E44" s="6">
        <f>[336]Tasas!$B$28</f>
        <v>1.0289772059687463</v>
      </c>
      <c r="F44" s="6">
        <f>[336]Tasas!$B$31</f>
        <v>1.2103433289873968</v>
      </c>
      <c r="G44" s="6">
        <f>[336]Tasas!$B$35</f>
        <v>0.97785079712790557</v>
      </c>
    </row>
    <row r="45" spans="2:7" ht="15" thickBot="1" x14ac:dyDescent="0.25">
      <c r="B45" s="5" t="s">
        <v>71</v>
      </c>
      <c r="C45" s="6">
        <f>[337]Tasas!$B$36</f>
        <v>1.0287018054361483</v>
      </c>
      <c r="D45" s="6">
        <f>[337]Tasas!$B$17</f>
        <v>1.0333943275388837</v>
      </c>
      <c r="E45" s="6">
        <f>[337]Tasas!$B$28</f>
        <v>1.022223705285638</v>
      </c>
      <c r="F45" s="6">
        <f>[337]Tasas!$B$31</f>
        <v>1.5929203539823009</v>
      </c>
      <c r="G45" s="6">
        <f>[337]Tasas!$B$35</f>
        <v>0.84908053265694361</v>
      </c>
    </row>
    <row r="46" spans="2:7" ht="15" thickBot="1" x14ac:dyDescent="0.25">
      <c r="B46" s="5" t="s">
        <v>72</v>
      </c>
      <c r="C46" s="6">
        <f>[338]Tasas!$B$36</f>
        <v>1.0423301445643205</v>
      </c>
      <c r="D46" s="6">
        <f>[338]Tasas!$B$17</f>
        <v>0.99558796812955797</v>
      </c>
      <c r="E46" s="6">
        <f>[338]Tasas!$B$28</f>
        <v>1.0687081431429633</v>
      </c>
      <c r="F46" s="6">
        <f>[338]Tasas!$B$31</f>
        <v>1.1560130010834235</v>
      </c>
      <c r="G46" s="6">
        <f>[338]Tasas!$B$35</f>
        <v>0.95547652916073966</v>
      </c>
    </row>
    <row r="47" spans="2:7" ht="15" thickBot="1" x14ac:dyDescent="0.25">
      <c r="B47" s="5" t="s">
        <v>5</v>
      </c>
      <c r="C47" s="6">
        <f>[339]Tasas!$B$36</f>
        <v>1.0535137673927082</v>
      </c>
      <c r="D47" s="6">
        <f>[339]Tasas!$B$17</f>
        <v>1.0534573534573535</v>
      </c>
      <c r="E47" s="6">
        <f>[339]Tasas!$B$28</f>
        <v>1.0484664564980408</v>
      </c>
      <c r="F47" s="6">
        <f>[339]Tasas!$B$31</f>
        <v>1.0090744101633393</v>
      </c>
      <c r="G47" s="6">
        <f>[339]Tasas!$B$35</f>
        <v>1.1017612524461839</v>
      </c>
    </row>
    <row r="48" spans="2:7" ht="15" thickBot="1" x14ac:dyDescent="0.25">
      <c r="B48" s="5" t="s">
        <v>73</v>
      </c>
      <c r="C48" s="6">
        <f>[340]Tasas!$B$36</f>
        <v>1.1191358024691358</v>
      </c>
      <c r="D48" s="6">
        <f>[340]Tasas!$B$17</f>
        <v>1.2235384615384615</v>
      </c>
      <c r="E48" s="6">
        <f>[340]Tasas!$B$28</f>
        <v>1.0541831740852947</v>
      </c>
      <c r="F48" s="6">
        <f>[340]Tasas!$B$31</f>
        <v>1.0492753623188407</v>
      </c>
      <c r="G48" s="6">
        <f>[340]Tasas!$B$35</f>
        <v>0.99353169469598968</v>
      </c>
    </row>
    <row r="49" spans="2:7" ht="15" thickBot="1" x14ac:dyDescent="0.25">
      <c r="B49" s="5" t="s">
        <v>74</v>
      </c>
      <c r="C49" s="6">
        <f>[341]Tasas!$B$36</f>
        <v>1.0504900363254828</v>
      </c>
      <c r="D49" s="6">
        <f>[341]Tasas!$B$17</f>
        <v>1.0207079156402725</v>
      </c>
      <c r="E49" s="6">
        <f>[341]Tasas!$B$28</f>
        <v>1.0664248440047404</v>
      </c>
      <c r="F49" s="6">
        <f>[341]Tasas!$B$31</f>
        <v>1.0988671472708549</v>
      </c>
      <c r="G49" s="6">
        <f>[341]Tasas!$B$35</f>
        <v>1.0020358920223194</v>
      </c>
    </row>
    <row r="50" spans="2:7" ht="15" thickBot="1" x14ac:dyDescent="0.25">
      <c r="B50" s="5" t="s">
        <v>75</v>
      </c>
      <c r="C50" s="6">
        <f>[342]Tasas!$B$36</f>
        <v>1.0344743276283619</v>
      </c>
      <c r="D50" s="6">
        <f>[342]Tasas!$B$17</f>
        <v>1.0749414519906324</v>
      </c>
      <c r="E50" s="6">
        <f>[342]Tasas!$B$28</f>
        <v>0.98903508771929827</v>
      </c>
      <c r="F50" s="6">
        <f>[342]Tasas!$B$31</f>
        <v>1.1893203883495145</v>
      </c>
      <c r="G50" s="6">
        <f>[342]Tasas!$B$35</f>
        <v>1.1623529411764706</v>
      </c>
    </row>
    <row r="51" spans="2:7" ht="15" thickBot="1" x14ac:dyDescent="0.25">
      <c r="B51" s="5" t="s">
        <v>76</v>
      </c>
      <c r="C51" s="6">
        <f>[343]Tasas!$B$36</f>
        <v>1.0251906585071362</v>
      </c>
      <c r="D51" s="6">
        <f>[343]Tasas!$B$17</f>
        <v>0.9870714071507114</v>
      </c>
      <c r="E51" s="6">
        <f>[343]Tasas!$B$28</f>
        <v>1.0382668424565002</v>
      </c>
      <c r="F51" s="6">
        <f>[343]Tasas!$B$31</f>
        <v>0.94809688581314877</v>
      </c>
      <c r="G51" s="6">
        <f>[343]Tasas!$B$35</f>
        <v>1.1252036304398418</v>
      </c>
    </row>
    <row r="52" spans="2:7" ht="15" thickBot="1" x14ac:dyDescent="0.25">
      <c r="B52" s="5" t="s">
        <v>77</v>
      </c>
      <c r="C52" s="6">
        <f>[344]Tasas!$B$36</f>
        <v>1.0219630096679277</v>
      </c>
      <c r="D52" s="6">
        <f>[344]Tasas!$B$17</f>
        <v>1.054862842892768</v>
      </c>
      <c r="E52" s="6">
        <f>[344]Tasas!$B$28</f>
        <v>1.0280144167758847</v>
      </c>
      <c r="F52" s="6">
        <f>[344]Tasas!$B$31</f>
        <v>0.89552238805970152</v>
      </c>
      <c r="G52" s="6">
        <f>[344]Tasas!$B$35</f>
        <v>0.76485148514851486</v>
      </c>
    </row>
    <row r="53" spans="2:7" ht="15" thickBot="1" x14ac:dyDescent="0.25">
      <c r="B53" s="5" t="s">
        <v>78</v>
      </c>
      <c r="C53" s="6">
        <f>[345]Tasas!$B$36</f>
        <v>1.0353234756192071</v>
      </c>
      <c r="D53" s="6">
        <f>[345]Tasas!$B$17</f>
        <v>1.0375693058327788</v>
      </c>
      <c r="E53" s="6">
        <f>[345]Tasas!$B$28</f>
        <v>1.0180469912821604</v>
      </c>
      <c r="F53" s="6">
        <f>[345]Tasas!$B$31</f>
        <v>1.2269203664552502</v>
      </c>
      <c r="G53" s="6">
        <f>[345]Tasas!$B$35</f>
        <v>1.147098976109215</v>
      </c>
    </row>
    <row r="54" spans="2:7" ht="15" thickBot="1" x14ac:dyDescent="0.25">
      <c r="B54" s="5" t="s">
        <v>79</v>
      </c>
      <c r="C54" s="6">
        <f>[346]Tasas!$B$36</f>
        <v>1.0611629199994945</v>
      </c>
      <c r="D54" s="6">
        <f>[346]Tasas!$B$17</f>
        <v>1.0993710588947321</v>
      </c>
      <c r="E54" s="6">
        <f>[346]Tasas!$B$28</f>
        <v>1.0387444854438999</v>
      </c>
      <c r="F54" s="6">
        <f>[346]Tasas!$B$31</f>
        <v>1.070383404334136</v>
      </c>
      <c r="G54" s="6">
        <f>[346]Tasas!$B$35</f>
        <v>1.0101981010432539</v>
      </c>
    </row>
    <row r="55" spans="2:7" ht="15" thickBot="1" x14ac:dyDescent="0.25">
      <c r="B55" s="5" t="s">
        <v>80</v>
      </c>
      <c r="C55" s="6">
        <f>[347]Tasas!$B$36</f>
        <v>1.0567208865034594</v>
      </c>
      <c r="D55" s="6">
        <f>[347]Tasas!$B$17</f>
        <v>1.0168733653927275</v>
      </c>
      <c r="E55" s="6">
        <f>[347]Tasas!$B$28</f>
        <v>1.0461526763990268</v>
      </c>
      <c r="F55" s="6">
        <f>[347]Tasas!$B$31</f>
        <v>1.2282051282051283</v>
      </c>
      <c r="G55" s="6">
        <f>[347]Tasas!$B$35</f>
        <v>1.3408395885460105</v>
      </c>
    </row>
    <row r="56" spans="2:7" ht="15" thickBot="1" x14ac:dyDescent="0.25">
      <c r="B56" s="5" t="s">
        <v>81</v>
      </c>
      <c r="C56" s="6">
        <f>[348]Tasas!$B$36</f>
        <v>1.024996893509506</v>
      </c>
      <c r="D56" s="6">
        <f>[348]Tasas!$B$17</f>
        <v>0.96538845258499395</v>
      </c>
      <c r="E56" s="6">
        <f>[348]Tasas!$B$28</f>
        <v>1.0499203875221457</v>
      </c>
      <c r="F56" s="6">
        <f>[348]Tasas!$B$31</f>
        <v>1.0994535519125683</v>
      </c>
      <c r="G56" s="6">
        <f>[348]Tasas!$B$35</f>
        <v>1.1249876786594382</v>
      </c>
    </row>
    <row r="57" spans="2:7" ht="15" thickBot="1" x14ac:dyDescent="0.25">
      <c r="B57" s="5" t="s">
        <v>82</v>
      </c>
      <c r="C57" s="6">
        <f>[349]Tasas!$B$36</f>
        <v>1.0009663483401545</v>
      </c>
      <c r="D57" s="6">
        <f>[349]Tasas!$B$17</f>
        <v>1.0116782006920415</v>
      </c>
      <c r="E57" s="6">
        <f>[349]Tasas!$B$28</f>
        <v>0.99151553717255281</v>
      </c>
      <c r="F57" s="6">
        <f>[349]Tasas!$B$31</f>
        <v>1.1331360946745561</v>
      </c>
      <c r="G57" s="6">
        <f>[349]Tasas!$B$35</f>
        <v>0.96737907761529807</v>
      </c>
    </row>
    <row r="58" spans="2:7" ht="15" thickBot="1" x14ac:dyDescent="0.25">
      <c r="B58" s="5" t="s">
        <v>83</v>
      </c>
      <c r="C58" s="6">
        <f>[350]Tasas!$B$36</f>
        <v>1.0033406593406593</v>
      </c>
      <c r="D58" s="6">
        <f>[350]Tasas!$B$17</f>
        <v>0.97412312618250618</v>
      </c>
      <c r="E58" s="6">
        <f>[350]Tasas!$B$28</f>
        <v>1.0181943186772646</v>
      </c>
      <c r="F58" s="6">
        <f>[350]Tasas!$B$31</f>
        <v>0.9298874104401228</v>
      </c>
      <c r="G58" s="6">
        <f>[350]Tasas!$B$35</f>
        <v>1.0439987562189055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FAA37-2C99-486E-BBFF-2EA7D5EB4B55}">
  <dimension ref="B7:G58"/>
  <sheetViews>
    <sheetView workbookViewId="0">
      <selection activeCell="A2" sqref="A2"/>
    </sheetView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f>[351]Tasas!$B$36</f>
        <v>1.0387986651835373</v>
      </c>
      <c r="D9" s="6">
        <f>[351]Tasas!$B$17</f>
        <v>1.0160330184935313</v>
      </c>
      <c r="E9" s="6">
        <f>[351]Tasas!$B$28</f>
        <v>1.025516704416761</v>
      </c>
      <c r="F9" s="6">
        <f>[351]Tasas!$B$31</f>
        <v>1.0483005366726297</v>
      </c>
      <c r="G9" s="6">
        <f>[351]Tasas!$B$35</f>
        <v>1.25764192139738</v>
      </c>
    </row>
    <row r="10" spans="2:7" s="8" customFormat="1" ht="20.100000000000001" customHeight="1" thickBot="1" x14ac:dyDescent="0.25">
      <c r="B10" s="5" t="s">
        <v>40</v>
      </c>
      <c r="C10" s="6">
        <f>[352]Tasas!$B$36</f>
        <v>1.0415238716930497</v>
      </c>
      <c r="D10" s="6">
        <f>[352]Tasas!$B$17</f>
        <v>0.97092683962013904</v>
      </c>
      <c r="E10" s="6">
        <f>[352]Tasas!$B$28</f>
        <v>1.0575916230366491</v>
      </c>
      <c r="F10" s="6">
        <f>[352]Tasas!$B$31</f>
        <v>1.0817174515235457</v>
      </c>
      <c r="G10" s="6">
        <f>[352]Tasas!$B$35</f>
        <v>1.3455621301775147</v>
      </c>
    </row>
    <row r="11" spans="2:7" s="8" customFormat="1" ht="20.100000000000001" customHeight="1" thickBot="1" x14ac:dyDescent="0.25">
      <c r="B11" s="5" t="s">
        <v>41</v>
      </c>
      <c r="C11" s="6">
        <f>[353]Tasas!$B$36</f>
        <v>1.0758773629979537</v>
      </c>
      <c r="D11" s="6">
        <f>[353]Tasas!$B$17</f>
        <v>1.0224560226237838</v>
      </c>
      <c r="E11" s="6">
        <f>[353]Tasas!$B$28</f>
        <v>1.0916262368540992</v>
      </c>
      <c r="F11" s="6">
        <f>[353]Tasas!$B$31</f>
        <v>1.2379411764705883</v>
      </c>
      <c r="G11" s="6">
        <f>[353]Tasas!$B$35</f>
        <v>1.0946623679025613</v>
      </c>
    </row>
    <row r="12" spans="2:7" s="8" customFormat="1" ht="20.100000000000001" customHeight="1" thickBot="1" x14ac:dyDescent="0.25">
      <c r="B12" s="5" t="s">
        <v>42</v>
      </c>
      <c r="C12" s="6">
        <f>[354]Tasas!$B$36</f>
        <v>1.0358928323809107</v>
      </c>
      <c r="D12" s="6">
        <f>[354]Tasas!$B$17</f>
        <v>1.0359618998250502</v>
      </c>
      <c r="E12" s="6">
        <f>[354]Tasas!$B$28</f>
        <v>1.0285247742001327</v>
      </c>
      <c r="F12" s="6">
        <f>[354]Tasas!$B$31</f>
        <v>1.2849479331019249</v>
      </c>
      <c r="G12" s="6">
        <f>[354]Tasas!$B$35</f>
        <v>1.0220044008801761</v>
      </c>
    </row>
    <row r="13" spans="2:7" s="8" customFormat="1" ht="20.100000000000001" customHeight="1" thickBot="1" x14ac:dyDescent="0.25">
      <c r="B13" s="5" t="s">
        <v>43</v>
      </c>
      <c r="C13" s="6">
        <f>[355]Tasas!$B$36</f>
        <v>0.9272962916509887</v>
      </c>
      <c r="D13" s="6">
        <f>[355]Tasas!$B$17</f>
        <v>0.77521237203223703</v>
      </c>
      <c r="E13" s="6">
        <f>[355]Tasas!$B$28</f>
        <v>1.0216506829410055</v>
      </c>
      <c r="F13" s="6">
        <f>[355]Tasas!$B$31</f>
        <v>1.0489913544668588</v>
      </c>
      <c r="G13" s="6">
        <f>[355]Tasas!$B$35</f>
        <v>1.0159744408945688</v>
      </c>
    </row>
    <row r="14" spans="2:7" s="8" customFormat="1" ht="20.100000000000001" customHeight="1" thickBot="1" x14ac:dyDescent="0.25">
      <c r="B14" s="5" t="s">
        <v>44</v>
      </c>
      <c r="C14" s="6">
        <f>[356]Tasas!$B$36</f>
        <v>1.0109838576892214</v>
      </c>
      <c r="D14" s="6">
        <f>[356]Tasas!$B$17</f>
        <v>0.98945981554677209</v>
      </c>
      <c r="E14" s="6">
        <f>[356]Tasas!$B$28</f>
        <v>1.0166244222454153</v>
      </c>
      <c r="F14" s="6">
        <f>[356]Tasas!$B$31</f>
        <v>1.1315068493150684</v>
      </c>
      <c r="G14" s="6">
        <f>[356]Tasas!$B$35</f>
        <v>1.0145464917284654</v>
      </c>
    </row>
    <row r="15" spans="2:7" s="8" customFormat="1" ht="20.100000000000001" customHeight="1" thickBot="1" x14ac:dyDescent="0.25">
      <c r="B15" s="5" t="s">
        <v>45</v>
      </c>
      <c r="C15" s="6">
        <f>[357]Tasas!$B$36</f>
        <v>1.0146994348594858</v>
      </c>
      <c r="D15" s="6">
        <f>[357]Tasas!$B$17</f>
        <v>0.96907294688738455</v>
      </c>
      <c r="E15" s="6">
        <f>[357]Tasas!$B$28</f>
        <v>1.0327477888769265</v>
      </c>
      <c r="F15" s="6">
        <f>[357]Tasas!$B$31</f>
        <v>1.2831969792322215</v>
      </c>
      <c r="G15" s="6">
        <f>[357]Tasas!$B$35</f>
        <v>0.91135135135135137</v>
      </c>
    </row>
    <row r="16" spans="2:7" s="8" customFormat="1" ht="20.100000000000001" customHeight="1" thickBot="1" x14ac:dyDescent="0.25">
      <c r="B16" s="5" t="s">
        <v>46</v>
      </c>
      <c r="C16" s="6">
        <f>[358]Tasas!$B$36</f>
        <v>1.0333443932078827</v>
      </c>
      <c r="D16" s="6">
        <f>[358]Tasas!$B$17</f>
        <v>1.0148420356151733</v>
      </c>
      <c r="E16" s="6">
        <f>[358]Tasas!$B$28</f>
        <v>1.0366550652061848</v>
      </c>
      <c r="F16" s="6">
        <f>[358]Tasas!$B$31</f>
        <v>1.4063211463773939</v>
      </c>
      <c r="G16" s="6">
        <f>[358]Tasas!$B$35</f>
        <v>1.0113424133375848</v>
      </c>
    </row>
    <row r="17" spans="2:7" s="8" customFormat="1" ht="20.100000000000001" customHeight="1" thickBot="1" x14ac:dyDescent="0.25">
      <c r="B17" s="5" t="s">
        <v>47</v>
      </c>
      <c r="C17" s="6">
        <f>[359]Tasas!$B$36</f>
        <v>1.0301009539686949</v>
      </c>
      <c r="D17" s="6">
        <f>[359]Tasas!$B$17</f>
        <v>0.96258364853069533</v>
      </c>
      <c r="E17" s="6">
        <f>[359]Tasas!$B$28</f>
        <v>1.0276234615266566</v>
      </c>
      <c r="F17" s="6">
        <f>[359]Tasas!$B$31</f>
        <v>1.4450915141430949</v>
      </c>
      <c r="G17" s="6">
        <f>[359]Tasas!$B$35</f>
        <v>1.2761020881670533</v>
      </c>
    </row>
    <row r="18" spans="2:7" s="8" customFormat="1" ht="20.100000000000001" customHeight="1" thickBot="1" x14ac:dyDescent="0.25">
      <c r="B18" s="5" t="s">
        <v>48</v>
      </c>
      <c r="C18" s="6">
        <f>[360]Tasas!$B$36</f>
        <v>1.0055954631379962</v>
      </c>
      <c r="D18" s="6">
        <f>[360]Tasas!$B$17</f>
        <v>0.95654193205944793</v>
      </c>
      <c r="E18" s="6">
        <f>[360]Tasas!$B$28</f>
        <v>1.0307411053297708</v>
      </c>
      <c r="F18" s="6">
        <f>[360]Tasas!$B$31</f>
        <v>1.0119047619047619</v>
      </c>
      <c r="G18" s="6">
        <f>[360]Tasas!$B$35</f>
        <v>0.90630855715178016</v>
      </c>
    </row>
    <row r="19" spans="2:7" s="8" customFormat="1" ht="20.100000000000001" customHeight="1" thickBot="1" x14ac:dyDescent="0.25">
      <c r="B19" s="5" t="s">
        <v>49</v>
      </c>
      <c r="C19" s="6">
        <f>[361]Tasas!$B$36</f>
        <v>1.0086983100062403</v>
      </c>
      <c r="D19" s="6">
        <f>[361]Tasas!$B$17</f>
        <v>0.92357585502899786</v>
      </c>
      <c r="E19" s="6">
        <f>[361]Tasas!$B$28</f>
        <v>1.0292679102362299</v>
      </c>
      <c r="F19" s="6">
        <f>[361]Tasas!$B$31</f>
        <v>1.1187248622076569</v>
      </c>
      <c r="G19" s="6">
        <f>[361]Tasas!$B$35</f>
        <v>1.0818158168574401</v>
      </c>
    </row>
    <row r="20" spans="2:7" s="8" customFormat="1" ht="20.100000000000001" customHeight="1" thickBot="1" x14ac:dyDescent="0.25">
      <c r="B20" s="5" t="s">
        <v>50</v>
      </c>
      <c r="C20" s="6">
        <f>[362]Tasas!$B$36</f>
        <v>0.98062293670159317</v>
      </c>
      <c r="D20" s="6">
        <f>[362]Tasas!$B$17</f>
        <v>0.8814974324995859</v>
      </c>
      <c r="E20" s="6">
        <f>[362]Tasas!$B$28</f>
        <v>1.0322054955870725</v>
      </c>
      <c r="F20" s="6">
        <f>[362]Tasas!$B$31</f>
        <v>0.87892720306513406</v>
      </c>
      <c r="G20" s="6">
        <f>[362]Tasas!$B$35</f>
        <v>0.96290837632031445</v>
      </c>
    </row>
    <row r="21" spans="2:7" s="8" customFormat="1" ht="20.100000000000001" customHeight="1" thickBot="1" x14ac:dyDescent="0.25">
      <c r="B21" s="5" t="s">
        <v>51</v>
      </c>
      <c r="C21" s="6">
        <f>[363]Tasas!$B$36</f>
        <v>1.0063614431850345</v>
      </c>
      <c r="D21" s="6">
        <f>[363]Tasas!$B$17</f>
        <v>0.88281622911694513</v>
      </c>
      <c r="E21" s="6">
        <f>[363]Tasas!$B$28</f>
        <v>1.046320433126128</v>
      </c>
      <c r="F21" s="6">
        <f>[363]Tasas!$B$31</f>
        <v>1.4930015552099534</v>
      </c>
      <c r="G21" s="6">
        <f>[363]Tasas!$B$35</f>
        <v>1.1097293343087051</v>
      </c>
    </row>
    <row r="22" spans="2:7" s="8" customFormat="1" ht="15" thickBot="1" x14ac:dyDescent="0.25">
      <c r="B22" s="5" t="s">
        <v>52</v>
      </c>
      <c r="C22" s="6">
        <f>[364]Tasas!$B$36</f>
        <v>1.0168452015435117</v>
      </c>
      <c r="D22" s="6">
        <f>[364]Tasas!$B$17</f>
        <v>0.97725692720230406</v>
      </c>
      <c r="E22" s="6">
        <f>[364]Tasas!$B$28</f>
        <v>1.0306678684865653</v>
      </c>
      <c r="F22" s="6">
        <f>[364]Tasas!$B$31</f>
        <v>1.153061224489796</v>
      </c>
      <c r="G22" s="6">
        <f>[364]Tasas!$B$35</f>
        <v>0.86166744294364228</v>
      </c>
    </row>
    <row r="23" spans="2:7" s="8" customFormat="1" ht="20.100000000000001" customHeight="1" thickBot="1" x14ac:dyDescent="0.25">
      <c r="B23" s="5" t="s">
        <v>53</v>
      </c>
      <c r="C23" s="6">
        <f>[365]Tasas!$B$36</f>
        <v>1.0020776183278282</v>
      </c>
      <c r="D23" s="6">
        <f>[365]Tasas!$B$17</f>
        <v>0.9627873178567331</v>
      </c>
      <c r="E23" s="6">
        <f>[365]Tasas!$B$28</f>
        <v>1.0279229537216557</v>
      </c>
      <c r="F23" s="6">
        <f>[365]Tasas!$B$31</f>
        <v>1.0721804511278195</v>
      </c>
      <c r="G23" s="6">
        <f>[365]Tasas!$B$35</f>
        <v>0.94845455379253418</v>
      </c>
    </row>
    <row r="24" spans="2:7" s="8" customFormat="1" ht="20.100000000000001" customHeight="1" thickBot="1" x14ac:dyDescent="0.25">
      <c r="B24" s="5" t="s">
        <v>54</v>
      </c>
      <c r="C24" s="6">
        <f>[366]Tasas!$B$36</f>
        <v>0.9573046352957727</v>
      </c>
      <c r="D24" s="6">
        <f>[366]Tasas!$B$17</f>
        <v>0.88315254702732393</v>
      </c>
      <c r="E24" s="6">
        <f>[366]Tasas!$B$28</f>
        <v>0.99315281668222843</v>
      </c>
      <c r="F24" s="6">
        <f>[366]Tasas!$B$31</f>
        <v>1.1252747252747253</v>
      </c>
      <c r="G24" s="6">
        <f>[366]Tasas!$B$35</f>
        <v>0.79689703808180534</v>
      </c>
    </row>
    <row r="25" spans="2:7" s="8" customFormat="1" ht="20.100000000000001" customHeight="1" thickBot="1" x14ac:dyDescent="0.25">
      <c r="B25" s="5" t="s">
        <v>55</v>
      </c>
      <c r="C25" s="6">
        <f>[367]Tasas!$B$36</f>
        <v>1.0596279672934579</v>
      </c>
      <c r="D25" s="6">
        <f>[367]Tasas!$B$17</f>
        <v>1.112694912584659</v>
      </c>
      <c r="E25" s="6">
        <f>[367]Tasas!$B$28</f>
        <v>1.0373483252402573</v>
      </c>
      <c r="F25" s="6">
        <f>[367]Tasas!$B$31</f>
        <v>1.2719568567026194</v>
      </c>
      <c r="G25" s="6">
        <f>[367]Tasas!$B$35</f>
        <v>1.166969696969697</v>
      </c>
    </row>
    <row r="26" spans="2:7" s="8" customFormat="1" ht="20.100000000000001" customHeight="1" thickBot="1" x14ac:dyDescent="0.25">
      <c r="B26" s="5" t="s">
        <v>56</v>
      </c>
      <c r="C26" s="6">
        <f>[368]Tasas!$B$36</f>
        <v>1.0206709061251507</v>
      </c>
      <c r="D26" s="6">
        <f>[368]Tasas!$B$17</f>
        <v>0.96512579006072619</v>
      </c>
      <c r="E26" s="6">
        <f>[368]Tasas!$B$28</f>
        <v>1.0246292958993328</v>
      </c>
      <c r="F26" s="6">
        <f>[368]Tasas!$B$31</f>
        <v>1.3996818452972759</v>
      </c>
      <c r="G26" s="6">
        <f>[368]Tasas!$B$35</f>
        <v>0.98422238918106686</v>
      </c>
    </row>
    <row r="27" spans="2:7" ht="15" thickBot="1" x14ac:dyDescent="0.25">
      <c r="B27" s="5" t="s">
        <v>57</v>
      </c>
      <c r="C27" s="6">
        <f>[369]Tasas!$B$36</f>
        <v>1.0324722453697481</v>
      </c>
      <c r="D27" s="6">
        <f>[369]Tasas!$B$17</f>
        <v>0.99124870612590577</v>
      </c>
      <c r="E27" s="6">
        <f>[369]Tasas!$B$28</f>
        <v>1.0356112439205343</v>
      </c>
      <c r="F27" s="6">
        <f>[369]Tasas!$B$31</f>
        <v>1.146969696969697</v>
      </c>
      <c r="G27" s="6">
        <f>[369]Tasas!$B$35</f>
        <v>1.2058111380145278</v>
      </c>
    </row>
    <row r="28" spans="2:7" ht="15" thickBot="1" x14ac:dyDescent="0.25">
      <c r="B28" s="5" t="s">
        <v>58</v>
      </c>
      <c r="C28" s="6">
        <f>[370]Tasas!$B$36</f>
        <v>1.0290877279313266</v>
      </c>
      <c r="D28" s="6">
        <f>[370]Tasas!$B$17</f>
        <v>0.97489239598278332</v>
      </c>
      <c r="E28" s="6">
        <f>[370]Tasas!$B$28</f>
        <v>1.0277783426537874</v>
      </c>
      <c r="F28" s="6">
        <f>[370]Tasas!$B$31</f>
        <v>1.034712950600801</v>
      </c>
      <c r="G28" s="6">
        <f>[370]Tasas!$B$35</f>
        <v>1.2670181068072428</v>
      </c>
    </row>
    <row r="29" spans="2:7" ht="15" thickBot="1" x14ac:dyDescent="0.25">
      <c r="B29" s="5" t="s">
        <v>59</v>
      </c>
      <c r="C29" s="6">
        <f>[371]Tasas!$B$36</f>
        <v>1.0350120258238744</v>
      </c>
      <c r="D29" s="6">
        <f>[371]Tasas!$B$17</f>
        <v>0.94621781115879833</v>
      </c>
      <c r="E29" s="6">
        <f>[371]Tasas!$B$28</f>
        <v>1.0513690845998818</v>
      </c>
      <c r="F29" s="6">
        <f>[371]Tasas!$B$31</f>
        <v>1.7254063301967493</v>
      </c>
      <c r="G29" s="6">
        <f>[371]Tasas!$B$35</f>
        <v>0.86233829631437642</v>
      </c>
    </row>
    <row r="30" spans="2:7" ht="15" thickBot="1" x14ac:dyDescent="0.25">
      <c r="B30" s="5" t="s">
        <v>60</v>
      </c>
      <c r="C30" s="6">
        <f>[372]Tasas!$B$36</f>
        <v>1.0362385321100918</v>
      </c>
      <c r="D30" s="6">
        <f>[372]Tasas!$B$17</f>
        <v>1.0399332306111968</v>
      </c>
      <c r="E30" s="6">
        <f>[372]Tasas!$B$28</f>
        <v>1.0356035001620445</v>
      </c>
      <c r="F30" s="6">
        <f>[372]Tasas!$B$31</f>
        <v>0.97837837837837838</v>
      </c>
      <c r="G30" s="6">
        <f>[372]Tasas!$B$35</f>
        <v>1.0445609436435124</v>
      </c>
    </row>
    <row r="31" spans="2:7" ht="15" thickBot="1" x14ac:dyDescent="0.25">
      <c r="B31" s="5" t="s">
        <v>61</v>
      </c>
      <c r="C31" s="6">
        <f>[373]Tasas!$B$36</f>
        <v>1.0138472046861093</v>
      </c>
      <c r="D31" s="6">
        <f>[373]Tasas!$B$17</f>
        <v>0.95458818720621297</v>
      </c>
      <c r="E31" s="6">
        <f>[373]Tasas!$B$28</f>
        <v>1.0263260588959264</v>
      </c>
      <c r="F31" s="6">
        <f>[373]Tasas!$B$31</f>
        <v>1.1995404059747223</v>
      </c>
      <c r="G31" s="6">
        <f>[373]Tasas!$B$35</f>
        <v>1.0595075239398084</v>
      </c>
    </row>
    <row r="32" spans="2:7" ht="15" thickBot="1" x14ac:dyDescent="0.25">
      <c r="B32" s="5" t="s">
        <v>62</v>
      </c>
      <c r="C32" s="6">
        <f>[374]Tasas!$B$36</f>
        <v>1.0081361549536823</v>
      </c>
      <c r="D32" s="6">
        <f>[374]Tasas!$B$17</f>
        <v>0.93467772333207688</v>
      </c>
      <c r="E32" s="6">
        <f>[374]Tasas!$B$28</f>
        <v>1.0248022132699122</v>
      </c>
      <c r="F32" s="6">
        <f>[374]Tasas!$B$31</f>
        <v>1.275390625</v>
      </c>
      <c r="G32" s="6">
        <f>[374]Tasas!$B$35</f>
        <v>1.2114356232003292</v>
      </c>
    </row>
    <row r="33" spans="2:7" ht="15" thickBot="1" x14ac:dyDescent="0.25">
      <c r="B33" s="5" t="s">
        <v>63</v>
      </c>
      <c r="C33" s="6">
        <f>[375]Tasas!$B$36</f>
        <v>1.0687819110138586</v>
      </c>
      <c r="D33" s="6">
        <f>[375]Tasas!$B$17</f>
        <v>1.0872174155735417</v>
      </c>
      <c r="E33" s="6">
        <f>[375]Tasas!$B$28</f>
        <v>1.0418230000262378</v>
      </c>
      <c r="F33" s="6">
        <f>[375]Tasas!$B$31</f>
        <v>1.352112676056338</v>
      </c>
      <c r="G33" s="6">
        <f>[375]Tasas!$B$35</f>
        <v>1.3984674329501916</v>
      </c>
    </row>
    <row r="34" spans="2:7" ht="15" thickBot="1" x14ac:dyDescent="0.25">
      <c r="B34" s="5" t="s">
        <v>64</v>
      </c>
      <c r="C34" s="6">
        <f>[376]Tasas!$B$36</f>
        <v>0.99667611440350423</v>
      </c>
      <c r="D34" s="6">
        <f>[376]Tasas!$B$17</f>
        <v>0.91543036849661585</v>
      </c>
      <c r="E34" s="6">
        <f>[376]Tasas!$B$28</f>
        <v>1.0186480186480187</v>
      </c>
      <c r="F34" s="6">
        <f>[376]Tasas!$B$31</f>
        <v>1.0818833162743091</v>
      </c>
      <c r="G34" s="6">
        <f>[376]Tasas!$B$35</f>
        <v>1.2463657230298393</v>
      </c>
    </row>
    <row r="35" spans="2:7" ht="15" thickBot="1" x14ac:dyDescent="0.25">
      <c r="B35" s="5" t="s">
        <v>65</v>
      </c>
      <c r="C35" s="6">
        <f>[377]Tasas!$B$36</f>
        <v>1.0267107438016529</v>
      </c>
      <c r="D35" s="6">
        <f>[377]Tasas!$B$17</f>
        <v>0.99152998117773594</v>
      </c>
      <c r="E35" s="6">
        <f>[377]Tasas!$B$28</f>
        <v>1.0458647454228098</v>
      </c>
      <c r="F35" s="6">
        <f>[377]Tasas!$B$31</f>
        <v>1.1388888888888888</v>
      </c>
      <c r="G35" s="6">
        <f>[377]Tasas!$B$35</f>
        <v>0.99928977272727271</v>
      </c>
    </row>
    <row r="36" spans="2:7" ht="15" thickBot="1" x14ac:dyDescent="0.25">
      <c r="B36" s="5" t="s">
        <v>32</v>
      </c>
      <c r="C36" s="6">
        <f>[378]Tasas!$B$36</f>
        <v>1.0090820985899343</v>
      </c>
      <c r="D36" s="6">
        <f>[378]Tasas!$B$17</f>
        <v>0.9160547204249565</v>
      </c>
      <c r="E36" s="6">
        <f>[378]Tasas!$B$28</f>
        <v>1.0360626013164087</v>
      </c>
      <c r="F36" s="6">
        <f>[378]Tasas!$B$31</f>
        <v>1.3234313112361893</v>
      </c>
      <c r="G36" s="6">
        <f>[378]Tasas!$B$35</f>
        <v>1.0308636371888673</v>
      </c>
    </row>
    <row r="37" spans="2:7" ht="15" thickBot="1" x14ac:dyDescent="0.25">
      <c r="B37" s="5" t="s">
        <v>66</v>
      </c>
      <c r="C37" s="6">
        <f>[379]Tasas!$B$36</f>
        <v>1.0164333014561266</v>
      </c>
      <c r="D37" s="6">
        <f>[379]Tasas!$B$17</f>
        <v>0.98549309871859825</v>
      </c>
      <c r="E37" s="6">
        <f>[379]Tasas!$B$28</f>
        <v>1.0182960107166934</v>
      </c>
      <c r="F37" s="6">
        <f>[379]Tasas!$B$31</f>
        <v>1.4190406976744185</v>
      </c>
      <c r="G37" s="6">
        <f>[379]Tasas!$B$35</f>
        <v>0.94643133612014241</v>
      </c>
    </row>
    <row r="38" spans="2:7" ht="15" thickBot="1" x14ac:dyDescent="0.25">
      <c r="B38" s="5" t="s">
        <v>33</v>
      </c>
      <c r="C38" s="6">
        <f>[380]Tasas!$B$36</f>
        <v>1.0120657502643469</v>
      </c>
      <c r="D38" s="6">
        <f>[380]Tasas!$B$17</f>
        <v>0.93634285541274964</v>
      </c>
      <c r="E38" s="6">
        <f>[380]Tasas!$B$28</f>
        <v>1.0346980955388954</v>
      </c>
      <c r="F38" s="6">
        <f>[380]Tasas!$B$31</f>
        <v>1.0902968321277127</v>
      </c>
      <c r="G38" s="6">
        <f>[380]Tasas!$B$35</f>
        <v>1.0753826798070873</v>
      </c>
    </row>
    <row r="39" spans="2:7" ht="15" thickBot="1" x14ac:dyDescent="0.25">
      <c r="B39" s="5" t="s">
        <v>34</v>
      </c>
      <c r="C39" s="6">
        <f>[381]Tasas!$B$36</f>
        <v>1.0315670443016571</v>
      </c>
      <c r="D39" s="6">
        <f>[381]Tasas!$B$17</f>
        <v>0.97542692613185067</v>
      </c>
      <c r="E39" s="6">
        <f>[381]Tasas!$B$28</f>
        <v>1.0284783204279679</v>
      </c>
      <c r="F39" s="6">
        <f>[381]Tasas!$B$31</f>
        <v>0.95413595413595409</v>
      </c>
      <c r="G39" s="6">
        <f>[381]Tasas!$B$35</f>
        <v>1.3999488229273285</v>
      </c>
    </row>
    <row r="40" spans="2:7" ht="15" thickBot="1" x14ac:dyDescent="0.25">
      <c r="B40" s="5" t="s">
        <v>67</v>
      </c>
      <c r="C40" s="6">
        <f>[382]Tasas!$B$36</f>
        <v>1.0195811681794866</v>
      </c>
      <c r="D40" s="6">
        <f>[382]Tasas!$B$17</f>
        <v>0.96645006356830065</v>
      </c>
      <c r="E40" s="6">
        <f>[382]Tasas!$B$28</f>
        <v>1.0464940464940464</v>
      </c>
      <c r="F40" s="6">
        <f>[382]Tasas!$B$31</f>
        <v>1.1080773606370875</v>
      </c>
      <c r="G40" s="6">
        <f>[382]Tasas!$B$35</f>
        <v>1.0083657006274276</v>
      </c>
    </row>
    <row r="41" spans="2:7" ht="15" thickBot="1" x14ac:dyDescent="0.25">
      <c r="B41" s="5" t="s">
        <v>31</v>
      </c>
      <c r="C41" s="6">
        <f>[383]Tasas!$B$36</f>
        <v>1.0094868955334071</v>
      </c>
      <c r="D41" s="6">
        <f>[383]Tasas!$B$17</f>
        <v>0.96623751739199348</v>
      </c>
      <c r="E41" s="6">
        <f>[383]Tasas!$B$28</f>
        <v>1.0388975010169641</v>
      </c>
      <c r="F41" s="6">
        <f>[383]Tasas!$B$31</f>
        <v>1.0708812260536398</v>
      </c>
      <c r="G41" s="6">
        <f>[383]Tasas!$B$35</f>
        <v>0.97835000820075446</v>
      </c>
    </row>
    <row r="42" spans="2:7" ht="15" thickBot="1" x14ac:dyDescent="0.25">
      <c r="B42" s="5" t="s">
        <v>68</v>
      </c>
      <c r="C42" s="6">
        <f>[384]Tasas!$B$36</f>
        <v>0.99204630321135179</v>
      </c>
      <c r="D42" s="6">
        <f>[384]Tasas!$B$17</f>
        <v>1.0012417732522041</v>
      </c>
      <c r="E42" s="6">
        <f>[384]Tasas!$B$28</f>
        <v>0.98273238117536876</v>
      </c>
      <c r="F42" s="6">
        <f>[384]Tasas!$B$31</f>
        <v>1.404320987654321</v>
      </c>
      <c r="G42" s="6">
        <f>[384]Tasas!$B$35</f>
        <v>0.95526914329037149</v>
      </c>
    </row>
    <row r="43" spans="2:7" ht="15" thickBot="1" x14ac:dyDescent="0.25">
      <c r="B43" s="5" t="s">
        <v>69</v>
      </c>
      <c r="C43" s="6">
        <f>[385]Tasas!$B$36</f>
        <v>1.0111256308579668</v>
      </c>
      <c r="D43" s="6">
        <f>[385]Tasas!$B$17</f>
        <v>0.95208458573499766</v>
      </c>
      <c r="E43" s="6">
        <f>[385]Tasas!$B$28</f>
        <v>1.0232645152669206</v>
      </c>
      <c r="F43" s="6">
        <f>[385]Tasas!$B$31</f>
        <v>1.2787965616045844</v>
      </c>
      <c r="G43" s="6">
        <f>[385]Tasas!$B$35</f>
        <v>1.0593345353220784</v>
      </c>
    </row>
    <row r="44" spans="2:7" ht="15" thickBot="1" x14ac:dyDescent="0.25">
      <c r="B44" s="5" t="s">
        <v>70</v>
      </c>
      <c r="C44" s="6">
        <f>[386]Tasas!$B$36</f>
        <v>1.0269014542582353</v>
      </c>
      <c r="D44" s="6">
        <f>[386]Tasas!$B$17</f>
        <v>0.99807400729418516</v>
      </c>
      <c r="E44" s="6">
        <f>[386]Tasas!$B$28</f>
        <v>1.0315021876519204</v>
      </c>
      <c r="F44" s="6">
        <f>[386]Tasas!$B$31</f>
        <v>1.0953846153846154</v>
      </c>
      <c r="G44" s="6">
        <f>[386]Tasas!$B$35</f>
        <v>1.1185993975903614</v>
      </c>
    </row>
    <row r="45" spans="2:7" ht="15" thickBot="1" x14ac:dyDescent="0.25">
      <c r="B45" s="5" t="s">
        <v>71</v>
      </c>
      <c r="C45" s="6">
        <f>[387]Tasas!$B$36</f>
        <v>1.0185398364132081</v>
      </c>
      <c r="D45" s="6">
        <f>[387]Tasas!$B$17</f>
        <v>0.98224241172826765</v>
      </c>
      <c r="E45" s="6">
        <f>[387]Tasas!$B$28</f>
        <v>1.0432770905950215</v>
      </c>
      <c r="F45" s="6">
        <f>[387]Tasas!$B$31</f>
        <v>1.0954653937947494</v>
      </c>
      <c r="G45" s="6">
        <f>[387]Tasas!$B$35</f>
        <v>0.82244071717755929</v>
      </c>
    </row>
    <row r="46" spans="2:7" ht="15" thickBot="1" x14ac:dyDescent="0.25">
      <c r="B46" s="5" t="s">
        <v>72</v>
      </c>
      <c r="C46" s="6">
        <f>[388]Tasas!$B$36</f>
        <v>1.0349060747636896</v>
      </c>
      <c r="D46" s="6">
        <f>[388]Tasas!$B$17</f>
        <v>0.99575060443988572</v>
      </c>
      <c r="E46" s="6">
        <f>[388]Tasas!$B$28</f>
        <v>1.0376899744828361</v>
      </c>
      <c r="F46" s="6">
        <f>[388]Tasas!$B$31</f>
        <v>1.0436802973977695</v>
      </c>
      <c r="G46" s="6">
        <f>[388]Tasas!$B$35</f>
        <v>1.1982053312219583</v>
      </c>
    </row>
    <row r="47" spans="2:7" ht="15" thickBot="1" x14ac:dyDescent="0.25">
      <c r="B47" s="5" t="s">
        <v>5</v>
      </c>
      <c r="C47" s="6">
        <f>[389]Tasas!$B$36</f>
        <v>1.0244961680386035</v>
      </c>
      <c r="D47" s="6">
        <f>[389]Tasas!$B$17</f>
        <v>1.0080377268952425</v>
      </c>
      <c r="E47" s="6">
        <f>[389]Tasas!$B$28</f>
        <v>1.0258498047643552</v>
      </c>
      <c r="F47" s="6">
        <f>[389]Tasas!$B$31</f>
        <v>1.1074043938161107</v>
      </c>
      <c r="G47" s="6">
        <f>[389]Tasas!$B$35</f>
        <v>1.1023335474202527</v>
      </c>
    </row>
    <row r="48" spans="2:7" ht="15" thickBot="1" x14ac:dyDescent="0.25">
      <c r="B48" s="5" t="s">
        <v>73</v>
      </c>
      <c r="C48" s="6">
        <f>[390]Tasas!$B$36</f>
        <v>0.94754299754299753</v>
      </c>
      <c r="D48" s="6">
        <f>[390]Tasas!$B$17</f>
        <v>0.81884875846501126</v>
      </c>
      <c r="E48" s="6">
        <f>[390]Tasas!$B$28</f>
        <v>1.0105621569036203</v>
      </c>
      <c r="F48" s="6">
        <f>[390]Tasas!$B$31</f>
        <v>1.0720221606648199</v>
      </c>
      <c r="G48" s="6">
        <f>[390]Tasas!$B$35</f>
        <v>1.1806930693069306</v>
      </c>
    </row>
    <row r="49" spans="2:7" ht="15" thickBot="1" x14ac:dyDescent="0.25">
      <c r="B49" s="5" t="s">
        <v>74</v>
      </c>
      <c r="C49" s="6">
        <f>[391]Tasas!$B$36</f>
        <v>1.0393958929526086</v>
      </c>
      <c r="D49" s="6">
        <f>[391]Tasas!$B$17</f>
        <v>1.0139325228793881</v>
      </c>
      <c r="E49" s="6">
        <f>[391]Tasas!$B$28</f>
        <v>1.0395977237750975</v>
      </c>
      <c r="F49" s="6">
        <f>[391]Tasas!$B$31</f>
        <v>1.2157987126974839</v>
      </c>
      <c r="G49" s="6">
        <f>[391]Tasas!$B$35</f>
        <v>1.0765531979850405</v>
      </c>
    </row>
    <row r="50" spans="2:7" ht="15" thickBot="1" x14ac:dyDescent="0.25">
      <c r="B50" s="5" t="s">
        <v>75</v>
      </c>
      <c r="C50" s="6">
        <f>[392]Tasas!$B$36</f>
        <v>1.0132508833922262</v>
      </c>
      <c r="D50" s="6">
        <f>[392]Tasas!$B$17</f>
        <v>0.94736842105263153</v>
      </c>
      <c r="E50" s="6">
        <f>[392]Tasas!$B$28</f>
        <v>1.0332859174964437</v>
      </c>
      <c r="F50" s="6">
        <f>[392]Tasas!$B$31</f>
        <v>1.8105263157894738</v>
      </c>
      <c r="G50" s="6">
        <f>[392]Tasas!$B$35</f>
        <v>0.75685557586837293</v>
      </c>
    </row>
    <row r="51" spans="2:7" ht="15" thickBot="1" x14ac:dyDescent="0.25">
      <c r="B51" s="5" t="s">
        <v>76</v>
      </c>
      <c r="C51" s="6">
        <f>[393]Tasas!$B$36</f>
        <v>1.0457104861071813</v>
      </c>
      <c r="D51" s="6">
        <f>[393]Tasas!$B$17</f>
        <v>1.0558518567595323</v>
      </c>
      <c r="E51" s="6">
        <f>[393]Tasas!$B$28</f>
        <v>1.0404563329977012</v>
      </c>
      <c r="F51" s="6">
        <f>[393]Tasas!$B$31</f>
        <v>1.2446183953033267</v>
      </c>
      <c r="G51" s="6">
        <f>[393]Tasas!$B$35</f>
        <v>1.0546571136131013</v>
      </c>
    </row>
    <row r="52" spans="2:7" ht="15" thickBot="1" x14ac:dyDescent="0.25">
      <c r="B52" s="5" t="s">
        <v>77</v>
      </c>
      <c r="C52" s="6">
        <f>[394]Tasas!$B$36</f>
        <v>1.0238657652520975</v>
      </c>
      <c r="D52" s="6">
        <f>[394]Tasas!$B$17</f>
        <v>0.96661514683153016</v>
      </c>
      <c r="E52" s="6">
        <f>[394]Tasas!$B$28</f>
        <v>1.0491629332704551</v>
      </c>
      <c r="F52" s="6">
        <f>[394]Tasas!$B$31</f>
        <v>0.94230769230769229</v>
      </c>
      <c r="G52" s="6">
        <f>[394]Tasas!$B$35</f>
        <v>0.98267326732673266</v>
      </c>
    </row>
    <row r="53" spans="2:7" ht="15" thickBot="1" x14ac:dyDescent="0.25">
      <c r="B53" s="5" t="s">
        <v>78</v>
      </c>
      <c r="C53" s="6">
        <f>[395]Tasas!$B$36</f>
        <v>1.007806529625151</v>
      </c>
      <c r="D53" s="6">
        <f>[395]Tasas!$B$17</f>
        <v>0.9358308333943075</v>
      </c>
      <c r="E53" s="6">
        <f>[395]Tasas!$B$28</f>
        <v>1.0288716128668807</v>
      </c>
      <c r="F53" s="6">
        <f>[395]Tasas!$B$31</f>
        <v>1.3218943033630748</v>
      </c>
      <c r="G53" s="6">
        <f>[395]Tasas!$B$35</f>
        <v>1.011731843575419</v>
      </c>
    </row>
    <row r="54" spans="2:7" ht="15" thickBot="1" x14ac:dyDescent="0.25">
      <c r="B54" s="5" t="s">
        <v>79</v>
      </c>
      <c r="C54" s="6">
        <f>[396]Tasas!$B$36</f>
        <v>1.0031177702348988</v>
      </c>
      <c r="D54" s="6">
        <f>[396]Tasas!$B$17</f>
        <v>0.94925670265942486</v>
      </c>
      <c r="E54" s="6">
        <f>[396]Tasas!$B$28</f>
        <v>1.0276595676138871</v>
      </c>
      <c r="F54" s="6">
        <f>[396]Tasas!$B$31</f>
        <v>1.0709666439754935</v>
      </c>
      <c r="G54" s="6">
        <f>[396]Tasas!$B$35</f>
        <v>0.97388853435439271</v>
      </c>
    </row>
    <row r="55" spans="2:7" ht="15" thickBot="1" x14ac:dyDescent="0.25">
      <c r="B55" s="5" t="s">
        <v>80</v>
      </c>
      <c r="C55" s="6">
        <f>[397]Tasas!$B$36</f>
        <v>1.0438116759017753</v>
      </c>
      <c r="D55" s="6">
        <f>[397]Tasas!$B$17</f>
        <v>0.98948405022333208</v>
      </c>
      <c r="E55" s="6">
        <f>[397]Tasas!$B$28</f>
        <v>1.0529884176116873</v>
      </c>
      <c r="F55" s="6">
        <f>[397]Tasas!$B$31</f>
        <v>1.1195312500000001</v>
      </c>
      <c r="G55" s="6">
        <f>[397]Tasas!$B$35</f>
        <v>1.2967396841569028</v>
      </c>
    </row>
    <row r="56" spans="2:7" ht="15" thickBot="1" x14ac:dyDescent="0.25">
      <c r="B56" s="5" t="s">
        <v>81</v>
      </c>
      <c r="C56" s="6">
        <f>[398]Tasas!$B$36</f>
        <v>1.0353323147440794</v>
      </c>
      <c r="D56" s="6">
        <f>[398]Tasas!$B$17</f>
        <v>0.99172973785775154</v>
      </c>
      <c r="E56" s="6">
        <f>[398]Tasas!$B$28</f>
        <v>1.0435314145995909</v>
      </c>
      <c r="F56" s="6">
        <f>[398]Tasas!$B$31</f>
        <v>0.76520781723093867</v>
      </c>
      <c r="G56" s="6">
        <f>[398]Tasas!$B$35</f>
        <v>1.2295908473918946</v>
      </c>
    </row>
    <row r="57" spans="2:7" ht="15" thickBot="1" x14ac:dyDescent="0.25">
      <c r="B57" s="5" t="s">
        <v>82</v>
      </c>
      <c r="C57" s="6">
        <f>[399]Tasas!$B$36</f>
        <v>1.0224209850794159</v>
      </c>
      <c r="D57" s="6">
        <f>[399]Tasas!$B$17</f>
        <v>1.0114711447492903</v>
      </c>
      <c r="E57" s="6">
        <f>[399]Tasas!$B$28</f>
        <v>1.0336279657074501</v>
      </c>
      <c r="F57" s="6">
        <f>[399]Tasas!$B$31</f>
        <v>1.2146118721461188</v>
      </c>
      <c r="G57" s="6">
        <f>[399]Tasas!$B$35</f>
        <v>0.86074672048435918</v>
      </c>
    </row>
    <row r="58" spans="2:7" ht="15" thickBot="1" x14ac:dyDescent="0.25">
      <c r="B58" s="5" t="s">
        <v>83</v>
      </c>
      <c r="C58" s="6">
        <f>[400]Tasas!$B$36</f>
        <v>1.0393322292707574</v>
      </c>
      <c r="D58" s="6">
        <f>[400]Tasas!$B$17</f>
        <v>1.0175787728026533</v>
      </c>
      <c r="E58" s="6">
        <f>[400]Tasas!$B$28</f>
        <v>1.0318232832314163</v>
      </c>
      <c r="F58" s="6">
        <f>[400]Tasas!$B$31</f>
        <v>0.99657729606389045</v>
      </c>
      <c r="G58" s="6">
        <f>[400]Tasas!$B$35</f>
        <v>1.3036834486086537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C3EAB-EA65-4280-A7F1-90CB47805523}">
  <dimension ref="B7:G58"/>
  <sheetViews>
    <sheetView workbookViewId="0">
      <selection activeCell="A2" sqref="A2"/>
    </sheetView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f>[401]Tasas!$B$36</f>
        <v>1.0143834720829883</v>
      </c>
      <c r="D9" s="6">
        <f>[401]Tasas!$B$17</f>
        <v>0.9950454170107349</v>
      </c>
      <c r="E9" s="6">
        <f>[401]Tasas!$B$28</f>
        <v>1.0262134920361898</v>
      </c>
      <c r="F9" s="6">
        <f>[401]Tasas!$B$31</f>
        <v>0.95755517826825132</v>
      </c>
      <c r="G9" s="6">
        <f>[401]Tasas!$B$35</f>
        <v>1.0022669311419665</v>
      </c>
    </row>
    <row r="10" spans="2:7" s="8" customFormat="1" ht="20.100000000000001" customHeight="1" thickBot="1" x14ac:dyDescent="0.25">
      <c r="B10" s="5" t="s">
        <v>40</v>
      </c>
      <c r="C10" s="6">
        <f>[402]Tasas!$B$36</f>
        <v>1.0120762062688127</v>
      </c>
      <c r="D10" s="6">
        <f>[402]Tasas!$B$17</f>
        <v>0.99065877037670191</v>
      </c>
      <c r="E10" s="6">
        <f>[402]Tasas!$B$28</f>
        <v>1.0134037484572773</v>
      </c>
      <c r="F10" s="6">
        <f>[402]Tasas!$B$31</f>
        <v>1.0200471698113207</v>
      </c>
      <c r="G10" s="6">
        <f>[402]Tasas!$B$35</f>
        <v>1.0993261060650454</v>
      </c>
    </row>
    <row r="11" spans="2:7" s="8" customFormat="1" ht="20.100000000000001" customHeight="1" thickBot="1" x14ac:dyDescent="0.25">
      <c r="B11" s="5" t="s">
        <v>41</v>
      </c>
      <c r="C11" s="6">
        <f>[403]Tasas!$B$36</f>
        <v>1.0464081687210511</v>
      </c>
      <c r="D11" s="6">
        <f>[403]Tasas!$B$17</f>
        <v>1.0570930932469296</v>
      </c>
      <c r="E11" s="6">
        <f>[403]Tasas!$B$28</f>
        <v>1.0464215322496988</v>
      </c>
      <c r="F11" s="6">
        <f>[403]Tasas!$B$31</f>
        <v>1.096945551128818</v>
      </c>
      <c r="G11" s="6">
        <f>[403]Tasas!$B$35</f>
        <v>0.95821894303363075</v>
      </c>
    </row>
    <row r="12" spans="2:7" s="8" customFormat="1" ht="20.100000000000001" customHeight="1" thickBot="1" x14ac:dyDescent="0.25">
      <c r="B12" s="5" t="s">
        <v>42</v>
      </c>
      <c r="C12" s="6">
        <f>[404]Tasas!$B$36</f>
        <v>1.0054988050673603</v>
      </c>
      <c r="D12" s="6">
        <f>[404]Tasas!$B$17</f>
        <v>1.0652833650928082</v>
      </c>
      <c r="E12" s="6">
        <f>[404]Tasas!$B$28</f>
        <v>1.0061285356936693</v>
      </c>
      <c r="F12" s="6">
        <f>[404]Tasas!$B$31</f>
        <v>0.63758680555555558</v>
      </c>
      <c r="G12" s="6">
        <f>[404]Tasas!$B$35</f>
        <v>0.99254483175498687</v>
      </c>
    </row>
    <row r="13" spans="2:7" s="8" customFormat="1" ht="20.100000000000001" customHeight="1" thickBot="1" x14ac:dyDescent="0.25">
      <c r="B13" s="5" t="s">
        <v>43</v>
      </c>
      <c r="C13" s="6">
        <f>[405]Tasas!$B$36</f>
        <v>1.004254356189183</v>
      </c>
      <c r="D13" s="6">
        <f>[405]Tasas!$B$17</f>
        <v>1.0054865257382604</v>
      </c>
      <c r="E13" s="6">
        <f>[405]Tasas!$B$28</f>
        <v>1.0040166019547463</v>
      </c>
      <c r="F13" s="6">
        <f>[405]Tasas!$B$31</f>
        <v>0.93530997304582209</v>
      </c>
      <c r="G13" s="6">
        <f>[405]Tasas!$B$35</f>
        <v>1.0407470288624787</v>
      </c>
    </row>
    <row r="14" spans="2:7" s="8" customFormat="1" ht="20.100000000000001" customHeight="1" thickBot="1" x14ac:dyDescent="0.25">
      <c r="B14" s="5" t="s">
        <v>44</v>
      </c>
      <c r="C14" s="6">
        <f>[406]Tasas!$B$36</f>
        <v>1.0131768827317151</v>
      </c>
      <c r="D14" s="6">
        <f>[406]Tasas!$B$17</f>
        <v>1.0019283510455947</v>
      </c>
      <c r="E14" s="6">
        <f>[406]Tasas!$B$28</f>
        <v>1.0192143231537423</v>
      </c>
      <c r="F14" s="6">
        <f>[406]Tasas!$B$31</f>
        <v>1.0502248875562219</v>
      </c>
      <c r="G14" s="6">
        <f>[406]Tasas!$B$35</f>
        <v>0.94533373603141047</v>
      </c>
    </row>
    <row r="15" spans="2:7" s="8" customFormat="1" ht="20.100000000000001" customHeight="1" thickBot="1" x14ac:dyDescent="0.25">
      <c r="B15" s="5" t="s">
        <v>45</v>
      </c>
      <c r="C15" s="6">
        <f>[407]Tasas!$B$36</f>
        <v>1.0135301179295249</v>
      </c>
      <c r="D15" s="6">
        <f>[407]Tasas!$B$17</f>
        <v>1.0269093233713567</v>
      </c>
      <c r="E15" s="6">
        <f>[407]Tasas!$B$28</f>
        <v>1.0149121492648161</v>
      </c>
      <c r="F15" s="6">
        <f>[407]Tasas!$B$31</f>
        <v>1.30142063001853</v>
      </c>
      <c r="G15" s="6">
        <f>[407]Tasas!$B$35</f>
        <v>0.82734806629834257</v>
      </c>
    </row>
    <row r="16" spans="2:7" s="8" customFormat="1" ht="20.100000000000001" customHeight="1" thickBot="1" x14ac:dyDescent="0.25">
      <c r="B16" s="5" t="s">
        <v>46</v>
      </c>
      <c r="C16" s="6">
        <f>[408]Tasas!$B$36</f>
        <v>1.0157752197545677</v>
      </c>
      <c r="D16" s="6">
        <f>[408]Tasas!$B$17</f>
        <v>0.97935594698065076</v>
      </c>
      <c r="E16" s="6">
        <f>[408]Tasas!$B$28</f>
        <v>1.0325796951456163</v>
      </c>
      <c r="F16" s="6">
        <f>[408]Tasas!$B$31</f>
        <v>1.0789283128167995</v>
      </c>
      <c r="G16" s="6">
        <f>[408]Tasas!$B$35</f>
        <v>0.94930398990630238</v>
      </c>
    </row>
    <row r="17" spans="2:7" s="8" customFormat="1" ht="20.100000000000001" customHeight="1" thickBot="1" x14ac:dyDescent="0.25">
      <c r="B17" s="5" t="s">
        <v>47</v>
      </c>
      <c r="C17" s="6">
        <f>[409]Tasas!$B$36</f>
        <v>1.0232255997721933</v>
      </c>
      <c r="D17" s="6">
        <f>[409]Tasas!$B$17</f>
        <v>0.99219841639496975</v>
      </c>
      <c r="E17" s="6">
        <f>[409]Tasas!$B$28</f>
        <v>1.0282709322083554</v>
      </c>
      <c r="F17" s="6">
        <f>[409]Tasas!$B$31</f>
        <v>0.86163934426229505</v>
      </c>
      <c r="G17" s="6">
        <f>[409]Tasas!$B$35</f>
        <v>1.2042946614971668</v>
      </c>
    </row>
    <row r="18" spans="2:7" s="8" customFormat="1" ht="20.100000000000001" customHeight="1" thickBot="1" x14ac:dyDescent="0.25">
      <c r="B18" s="5" t="s">
        <v>48</v>
      </c>
      <c r="C18" s="6">
        <f>[410]Tasas!$B$36</f>
        <v>0.99893817838603116</v>
      </c>
      <c r="D18" s="6">
        <f>[410]Tasas!$B$17</f>
        <v>1.0063503649635037</v>
      </c>
      <c r="E18" s="6">
        <f>[410]Tasas!$B$28</f>
        <v>1.0011803656254499</v>
      </c>
      <c r="F18" s="6">
        <f>[410]Tasas!$B$31</f>
        <v>0.94576719576719581</v>
      </c>
      <c r="G18" s="6">
        <f>[410]Tasas!$B$35</f>
        <v>0.91531531531531529</v>
      </c>
    </row>
    <row r="19" spans="2:7" s="8" customFormat="1" ht="20.100000000000001" customHeight="1" thickBot="1" x14ac:dyDescent="0.25">
      <c r="B19" s="5" t="s">
        <v>49</v>
      </c>
      <c r="C19" s="6">
        <f>[411]Tasas!$B$36</f>
        <v>0.99962797466957198</v>
      </c>
      <c r="D19" s="6">
        <f>[411]Tasas!$B$17</f>
        <v>1.0079413561392792</v>
      </c>
      <c r="E19" s="6">
        <f>[411]Tasas!$B$28</f>
        <v>1.0137078651685394</v>
      </c>
      <c r="F19" s="6">
        <f>[411]Tasas!$B$31</f>
        <v>0.92543227665706052</v>
      </c>
      <c r="G19" s="6">
        <f>[411]Tasas!$B$35</f>
        <v>0.74915476060639108</v>
      </c>
    </row>
    <row r="20" spans="2:7" s="8" customFormat="1" ht="20.100000000000001" customHeight="1" thickBot="1" x14ac:dyDescent="0.25">
      <c r="B20" s="5" t="s">
        <v>50</v>
      </c>
      <c r="C20" s="6">
        <f>[412]Tasas!$B$36</f>
        <v>1.0222831013025633</v>
      </c>
      <c r="D20" s="6">
        <f>[412]Tasas!$B$17</f>
        <v>1.0717603057827463</v>
      </c>
      <c r="E20" s="6">
        <f>[412]Tasas!$B$28</f>
        <v>1.0181493254427469</v>
      </c>
      <c r="F20" s="6">
        <f>[412]Tasas!$B$31</f>
        <v>0.94360269360269355</v>
      </c>
      <c r="G20" s="6">
        <f>[412]Tasas!$B$35</f>
        <v>0.83427922814982969</v>
      </c>
    </row>
    <row r="21" spans="2:7" s="8" customFormat="1" ht="20.100000000000001" customHeight="1" thickBot="1" x14ac:dyDescent="0.25">
      <c r="B21" s="5" t="s">
        <v>51</v>
      </c>
      <c r="C21" s="6">
        <f>[413]Tasas!$B$36</f>
        <v>1.0214151942024265</v>
      </c>
      <c r="D21" s="6">
        <f>[413]Tasas!$B$17</f>
        <v>1.0056036395916557</v>
      </c>
      <c r="E21" s="6">
        <f>[413]Tasas!$B$28</f>
        <v>1.0188310809504475</v>
      </c>
      <c r="F21" s="6">
        <f>[413]Tasas!$B$31</f>
        <v>1.3068844807467912</v>
      </c>
      <c r="G21" s="6">
        <f>[413]Tasas!$B$35</f>
        <v>1.0778715120051914</v>
      </c>
    </row>
    <row r="22" spans="2:7" s="8" customFormat="1" ht="15" thickBot="1" x14ac:dyDescent="0.25">
      <c r="B22" s="5" t="s">
        <v>52</v>
      </c>
      <c r="C22" s="6">
        <f>[414]Tasas!$B$36</f>
        <v>0.99703522590846538</v>
      </c>
      <c r="D22" s="6">
        <f>[414]Tasas!$B$17</f>
        <v>0.99635219704829159</v>
      </c>
      <c r="E22" s="6">
        <f>[414]Tasas!$B$28</f>
        <v>1.0054272281275551</v>
      </c>
      <c r="F22" s="6">
        <f>[414]Tasas!$B$31</f>
        <v>0.89674620390455528</v>
      </c>
      <c r="G22" s="6">
        <f>[414]Tasas!$B$35</f>
        <v>0.91785630704423127</v>
      </c>
    </row>
    <row r="23" spans="2:7" s="8" customFormat="1" ht="20.100000000000001" customHeight="1" thickBot="1" x14ac:dyDescent="0.25">
      <c r="B23" s="5" t="s">
        <v>53</v>
      </c>
      <c r="C23" s="6">
        <f>[415]Tasas!$B$36</f>
        <v>1.0004273404205497</v>
      </c>
      <c r="D23" s="6">
        <f>[415]Tasas!$B$17</f>
        <v>1.0004242595660431</v>
      </c>
      <c r="E23" s="6">
        <f>[415]Tasas!$B$28</f>
        <v>1.0156117106730425</v>
      </c>
      <c r="F23" s="6">
        <f>[415]Tasas!$B$31</f>
        <v>0.94106359649122806</v>
      </c>
      <c r="G23" s="6">
        <f>[415]Tasas!$B$35</f>
        <v>0.88322091062394603</v>
      </c>
    </row>
    <row r="24" spans="2:7" s="8" customFormat="1" ht="20.100000000000001" customHeight="1" thickBot="1" x14ac:dyDescent="0.25">
      <c r="B24" s="5" t="s">
        <v>54</v>
      </c>
      <c r="C24" s="6">
        <f>[416]Tasas!$B$36</f>
        <v>1.0085430698333924</v>
      </c>
      <c r="D24" s="6">
        <f>[416]Tasas!$B$17</f>
        <v>1.0202692003167062</v>
      </c>
      <c r="E24" s="6">
        <f>[416]Tasas!$B$28</f>
        <v>1.010232465726207</v>
      </c>
      <c r="F24" s="6">
        <f>[416]Tasas!$B$31</f>
        <v>0.89305816135084426</v>
      </c>
      <c r="G24" s="6">
        <f>[416]Tasas!$B$35</f>
        <v>0.97073170731707314</v>
      </c>
    </row>
    <row r="25" spans="2:7" s="8" customFormat="1" ht="20.100000000000001" customHeight="1" thickBot="1" x14ac:dyDescent="0.25">
      <c r="B25" s="5" t="s">
        <v>55</v>
      </c>
      <c r="C25" s="6">
        <f>[417]Tasas!$B$36</f>
        <v>1.0179378598277584</v>
      </c>
      <c r="D25" s="6">
        <f>[417]Tasas!$B$17</f>
        <v>0.98615271952599692</v>
      </c>
      <c r="E25" s="6">
        <f>[417]Tasas!$B$28</f>
        <v>1.0253650616024312</v>
      </c>
      <c r="F25" s="6">
        <f>[417]Tasas!$B$31</f>
        <v>1.3564575645756458</v>
      </c>
      <c r="G25" s="6">
        <f>[417]Tasas!$B$35</f>
        <v>0.96709786276715415</v>
      </c>
    </row>
    <row r="26" spans="2:7" s="8" customFormat="1" ht="20.100000000000001" customHeight="1" thickBot="1" x14ac:dyDescent="0.25">
      <c r="B26" s="5" t="s">
        <v>56</v>
      </c>
      <c r="C26" s="6">
        <f>[418]Tasas!$B$36</f>
        <v>1.0061917735981718</v>
      </c>
      <c r="D26" s="6">
        <f>[418]Tasas!$B$17</f>
        <v>1.0162363519588953</v>
      </c>
      <c r="E26" s="6">
        <f>[418]Tasas!$B$28</f>
        <v>1.0128722736409241</v>
      </c>
      <c r="F26" s="6">
        <f>[418]Tasas!$B$31</f>
        <v>0.95373184734886862</v>
      </c>
      <c r="G26" s="6">
        <f>[418]Tasas!$B$35</f>
        <v>0.86966094231616031</v>
      </c>
    </row>
    <row r="27" spans="2:7" ht="15" thickBot="1" x14ac:dyDescent="0.25">
      <c r="B27" s="5" t="s">
        <v>57</v>
      </c>
      <c r="C27" s="6">
        <f>[419]Tasas!$B$36</f>
        <v>1.0385395537525355</v>
      </c>
      <c r="D27" s="6">
        <f>[419]Tasas!$B$17</f>
        <v>1.0450488737781556</v>
      </c>
      <c r="E27" s="6">
        <f>[419]Tasas!$B$28</f>
        <v>1.0353520954669491</v>
      </c>
      <c r="F27" s="6">
        <f>[419]Tasas!$B$31</f>
        <v>0.90510083036773425</v>
      </c>
      <c r="G27" s="6">
        <f>[419]Tasas!$B$35</f>
        <v>1.1158900836320191</v>
      </c>
    </row>
    <row r="28" spans="2:7" ht="15" thickBot="1" x14ac:dyDescent="0.25">
      <c r="B28" s="5" t="s">
        <v>58</v>
      </c>
      <c r="C28" s="6">
        <f>[420]Tasas!$B$36</f>
        <v>1.0188057671019113</v>
      </c>
      <c r="D28" s="6">
        <f>[420]Tasas!$B$17</f>
        <v>1.0084566596194504</v>
      </c>
      <c r="E28" s="6">
        <f>[420]Tasas!$B$28</f>
        <v>1.0206940649886647</v>
      </c>
      <c r="F28" s="6">
        <f>[420]Tasas!$B$31</f>
        <v>1.1025454545454545</v>
      </c>
      <c r="G28" s="6">
        <f>[420]Tasas!$B$35</f>
        <v>1.0114803625377644</v>
      </c>
    </row>
    <row r="29" spans="2:7" ht="15" thickBot="1" x14ac:dyDescent="0.25">
      <c r="B29" s="5" t="s">
        <v>59</v>
      </c>
      <c r="C29" s="6">
        <f>[421]Tasas!$B$36</f>
        <v>0.98839439861883749</v>
      </c>
      <c r="D29" s="6">
        <f>[421]Tasas!$B$17</f>
        <v>1.0107273007237079</v>
      </c>
      <c r="E29" s="6">
        <f>[421]Tasas!$B$28</f>
        <v>1.0086676313944294</v>
      </c>
      <c r="F29" s="6">
        <f>[421]Tasas!$B$31</f>
        <v>0.59107391910739193</v>
      </c>
      <c r="G29" s="6">
        <f>[421]Tasas!$B$35</f>
        <v>0.88942436412315928</v>
      </c>
    </row>
    <row r="30" spans="2:7" ht="15" thickBot="1" x14ac:dyDescent="0.25">
      <c r="B30" s="5" t="s">
        <v>60</v>
      </c>
      <c r="C30" s="6">
        <f>[422]Tasas!$B$36</f>
        <v>1.0053551020408162</v>
      </c>
      <c r="D30" s="6">
        <f>[422]Tasas!$B$17</f>
        <v>1.0314648334214702</v>
      </c>
      <c r="E30" s="6">
        <f>[422]Tasas!$B$28</f>
        <v>0.99217897417242629</v>
      </c>
      <c r="F30" s="6">
        <f>[422]Tasas!$B$31</f>
        <v>1.1880597014925374</v>
      </c>
      <c r="G30" s="6">
        <f>[422]Tasas!$B$35</f>
        <v>1.0476839237057221</v>
      </c>
    </row>
    <row r="31" spans="2:7" ht="15" thickBot="1" x14ac:dyDescent="0.25">
      <c r="B31" s="5" t="s">
        <v>61</v>
      </c>
      <c r="C31" s="6">
        <f>[423]Tasas!$B$36</f>
        <v>0.99760811618879663</v>
      </c>
      <c r="D31" s="6">
        <f>[423]Tasas!$B$17</f>
        <v>0.96515383307836133</v>
      </c>
      <c r="E31" s="6">
        <f>[423]Tasas!$B$28</f>
        <v>1.0134831786122898</v>
      </c>
      <c r="F31" s="6">
        <f>[423]Tasas!$B$31</f>
        <v>0.97293772416041735</v>
      </c>
      <c r="G31" s="6">
        <f>[423]Tasas!$B$35</f>
        <v>0.91255382577012256</v>
      </c>
    </row>
    <row r="32" spans="2:7" ht="15" thickBot="1" x14ac:dyDescent="0.25">
      <c r="B32" s="5" t="s">
        <v>62</v>
      </c>
      <c r="C32" s="6">
        <f>[424]Tasas!$B$36</f>
        <v>1.0339862956376189</v>
      </c>
      <c r="D32" s="6">
        <f>[424]Tasas!$B$17</f>
        <v>0.98142804892916646</v>
      </c>
      <c r="E32" s="6">
        <f>[424]Tasas!$B$28</f>
        <v>1.0288810232133938</v>
      </c>
      <c r="F32" s="6">
        <f>[424]Tasas!$B$31</f>
        <v>1.3418647166361974</v>
      </c>
      <c r="G32" s="6">
        <f>[424]Tasas!$B$35</f>
        <v>1.2864406779661017</v>
      </c>
    </row>
    <row r="33" spans="2:7" ht="15" thickBot="1" x14ac:dyDescent="0.25">
      <c r="B33" s="5" t="s">
        <v>63</v>
      </c>
      <c r="C33" s="6">
        <f>[425]Tasas!$B$36</f>
        <v>1.0022874695684851</v>
      </c>
      <c r="D33" s="6">
        <f>[425]Tasas!$B$17</f>
        <v>0.96661900913781318</v>
      </c>
      <c r="E33" s="6">
        <f>[425]Tasas!$B$28</f>
        <v>1.0128558960205694</v>
      </c>
      <c r="F33" s="6">
        <f>[425]Tasas!$B$31</f>
        <v>1.0906630581867389</v>
      </c>
      <c r="G33" s="6">
        <f>[425]Tasas!$B$35</f>
        <v>1.0327620967741935</v>
      </c>
    </row>
    <row r="34" spans="2:7" ht="15" thickBot="1" x14ac:dyDescent="0.25">
      <c r="B34" s="5" t="s">
        <v>64</v>
      </c>
      <c r="C34" s="6">
        <f>[426]Tasas!$B$36</f>
        <v>0.97404543386937092</v>
      </c>
      <c r="D34" s="6">
        <f>[426]Tasas!$B$17</f>
        <v>0.94747657405885255</v>
      </c>
      <c r="E34" s="6">
        <f>[426]Tasas!$B$28</f>
        <v>0.98383762450667167</v>
      </c>
      <c r="F34" s="6">
        <f>[426]Tasas!$B$31</f>
        <v>1.0182692307692307</v>
      </c>
      <c r="G34" s="6">
        <f>[426]Tasas!$B$35</f>
        <v>0.99791883454734653</v>
      </c>
    </row>
    <row r="35" spans="2:7" ht="15" thickBot="1" x14ac:dyDescent="0.25">
      <c r="B35" s="5" t="s">
        <v>65</v>
      </c>
      <c r="C35" s="6">
        <f>[427]Tasas!$B$36</f>
        <v>0.99707216494845363</v>
      </c>
      <c r="D35" s="6">
        <f>[427]Tasas!$B$17</f>
        <v>0.9930227922121071</v>
      </c>
      <c r="E35" s="6">
        <f>[427]Tasas!$B$28</f>
        <v>1.029547425004335</v>
      </c>
      <c r="F35" s="6">
        <f>[427]Tasas!$B$31</f>
        <v>1.0847222222222221</v>
      </c>
      <c r="G35" s="6">
        <f>[427]Tasas!$B$35</f>
        <v>0.75616016427104726</v>
      </c>
    </row>
    <row r="36" spans="2:7" ht="15" thickBot="1" x14ac:dyDescent="0.25">
      <c r="B36" s="5" t="s">
        <v>32</v>
      </c>
      <c r="C36" s="6">
        <f>[428]Tasas!$B$36</f>
        <v>1.0203244852052691</v>
      </c>
      <c r="D36" s="6">
        <f>[428]Tasas!$B$17</f>
        <v>1.005614893932651</v>
      </c>
      <c r="E36" s="6">
        <f>[428]Tasas!$B$28</f>
        <v>1.0219806182236808</v>
      </c>
      <c r="F36" s="6">
        <f>[428]Tasas!$B$31</f>
        <v>1.4221164670965101</v>
      </c>
      <c r="G36" s="6">
        <f>[428]Tasas!$B$35</f>
        <v>0.92844810075157425</v>
      </c>
    </row>
    <row r="37" spans="2:7" ht="15" thickBot="1" x14ac:dyDescent="0.25">
      <c r="B37" s="5" t="s">
        <v>66</v>
      </c>
      <c r="C37" s="6">
        <f>[429]Tasas!$B$36</f>
        <v>1.0043398083214383</v>
      </c>
      <c r="D37" s="6">
        <f>[429]Tasas!$B$17</f>
        <v>1.06571155188911</v>
      </c>
      <c r="E37" s="6">
        <f>[429]Tasas!$B$28</f>
        <v>1.0069982547491239</v>
      </c>
      <c r="F37" s="6">
        <f>[429]Tasas!$B$31</f>
        <v>0.68260609683203821</v>
      </c>
      <c r="G37" s="6">
        <f>[429]Tasas!$B$35</f>
        <v>0.87145650048875856</v>
      </c>
    </row>
    <row r="38" spans="2:7" ht="15" thickBot="1" x14ac:dyDescent="0.25">
      <c r="B38" s="5" t="s">
        <v>33</v>
      </c>
      <c r="C38" s="6">
        <f>[430]Tasas!$B$36</f>
        <v>1.0338111323034813</v>
      </c>
      <c r="D38" s="6">
        <f>[430]Tasas!$B$17</f>
        <v>1.0435771349252057</v>
      </c>
      <c r="E38" s="6">
        <f>[430]Tasas!$B$28</f>
        <v>1.0202663249329538</v>
      </c>
      <c r="F38" s="6">
        <f>[430]Tasas!$B$31</f>
        <v>1.2535358826610792</v>
      </c>
      <c r="G38" s="6">
        <f>[430]Tasas!$B$35</f>
        <v>1.1497105045492142</v>
      </c>
    </row>
    <row r="39" spans="2:7" ht="15" thickBot="1" x14ac:dyDescent="0.25">
      <c r="B39" s="5" t="s">
        <v>34</v>
      </c>
      <c r="C39" s="6">
        <f>[431]Tasas!$B$36</f>
        <v>0.99822568124766864</v>
      </c>
      <c r="D39" s="6">
        <f>[431]Tasas!$B$17</f>
        <v>0.98355826906598109</v>
      </c>
      <c r="E39" s="6">
        <f>[431]Tasas!$B$28</f>
        <v>0.99067151747757831</v>
      </c>
      <c r="F39" s="6">
        <f>[431]Tasas!$B$31</f>
        <v>1.2522432701894317</v>
      </c>
      <c r="G39" s="6">
        <f>[431]Tasas!$B$35</f>
        <v>1.1290466622013842</v>
      </c>
    </row>
    <row r="40" spans="2:7" ht="15" thickBot="1" x14ac:dyDescent="0.25">
      <c r="B40" s="5" t="s">
        <v>67</v>
      </c>
      <c r="C40" s="6">
        <f>[432]Tasas!$B$36</f>
        <v>1.0054949399114486</v>
      </c>
      <c r="D40" s="6">
        <f>[432]Tasas!$B$17</f>
        <v>0.99261581330546844</v>
      </c>
      <c r="E40" s="6">
        <f>[432]Tasas!$B$28</f>
        <v>1.0247253616994334</v>
      </c>
      <c r="F40" s="6">
        <f>[432]Tasas!$B$31</f>
        <v>0.78596087456846953</v>
      </c>
      <c r="G40" s="6">
        <f>[432]Tasas!$B$35</f>
        <v>0.94419465749801634</v>
      </c>
    </row>
    <row r="41" spans="2:7" ht="15" thickBot="1" x14ac:dyDescent="0.25">
      <c r="B41" s="5" t="s">
        <v>31</v>
      </c>
      <c r="C41" s="6">
        <f>[433]Tasas!$B$36</f>
        <v>0.99543808493627428</v>
      </c>
      <c r="D41" s="6">
        <f>[433]Tasas!$B$17</f>
        <v>0.98919936402346531</v>
      </c>
      <c r="E41" s="6">
        <f>[433]Tasas!$B$28</f>
        <v>1.0247163939363517</v>
      </c>
      <c r="F41" s="6">
        <f>[433]Tasas!$B$31</f>
        <v>1.0110655737704919</v>
      </c>
      <c r="G41" s="6">
        <f>[433]Tasas!$B$35</f>
        <v>0.79947506561679793</v>
      </c>
    </row>
    <row r="42" spans="2:7" ht="15" thickBot="1" x14ac:dyDescent="0.25">
      <c r="B42" s="5" t="s">
        <v>68</v>
      </c>
      <c r="C42" s="6">
        <f>[434]Tasas!$B$36</f>
        <v>0.9834134187577861</v>
      </c>
      <c r="D42" s="6">
        <f>[434]Tasas!$B$17</f>
        <v>0.94952869585968258</v>
      </c>
      <c r="E42" s="6">
        <f>[434]Tasas!$B$28</f>
        <v>0.98725005616715344</v>
      </c>
      <c r="F42" s="6">
        <f>[434]Tasas!$B$31</f>
        <v>1.4721189591078068</v>
      </c>
      <c r="G42" s="6">
        <f>[434]Tasas!$B$35</f>
        <v>0.94897959183673475</v>
      </c>
    </row>
    <row r="43" spans="2:7" ht="15" thickBot="1" x14ac:dyDescent="0.25">
      <c r="B43" s="5" t="s">
        <v>69</v>
      </c>
      <c r="C43" s="6">
        <f>[435]Tasas!$B$36</f>
        <v>1.0280329123612706</v>
      </c>
      <c r="D43" s="6">
        <f>[435]Tasas!$B$17</f>
        <v>1.0382449302982932</v>
      </c>
      <c r="E43" s="6">
        <f>[435]Tasas!$B$28</f>
        <v>1.0168516861206847</v>
      </c>
      <c r="F43" s="6">
        <f>[435]Tasas!$B$31</f>
        <v>1.2839186691312385</v>
      </c>
      <c r="G43" s="6">
        <f>[435]Tasas!$B$35</f>
        <v>1.0752971205232511</v>
      </c>
    </row>
    <row r="44" spans="2:7" ht="15" thickBot="1" x14ac:dyDescent="0.25">
      <c r="B44" s="5" t="s">
        <v>70</v>
      </c>
      <c r="C44" s="6">
        <f>[436]Tasas!$B$36</f>
        <v>1.0159570677586103</v>
      </c>
      <c r="D44" s="6">
        <f>[436]Tasas!$B$17</f>
        <v>1.0239344526961576</v>
      </c>
      <c r="E44" s="6">
        <f>[436]Tasas!$B$28</f>
        <v>1.0138401720714758</v>
      </c>
      <c r="F44" s="6">
        <f>[436]Tasas!$B$31</f>
        <v>0.94902261402836341</v>
      </c>
      <c r="G44" s="6">
        <f>[436]Tasas!$B$35</f>
        <v>1.0197102066908161</v>
      </c>
    </row>
    <row r="45" spans="2:7" ht="15" thickBot="1" x14ac:dyDescent="0.25">
      <c r="B45" s="5" t="s">
        <v>71</v>
      </c>
      <c r="C45" s="6">
        <f>[437]Tasas!$B$36</f>
        <v>0.99563734433251372</v>
      </c>
      <c r="D45" s="6">
        <f>[437]Tasas!$B$17</f>
        <v>0.97012377294067431</v>
      </c>
      <c r="E45" s="6">
        <f>[437]Tasas!$B$28</f>
        <v>1.0138033615945263</v>
      </c>
      <c r="F45" s="6">
        <f>[437]Tasas!$B$31</f>
        <v>1.1000000000000001</v>
      </c>
      <c r="G45" s="6">
        <f>[437]Tasas!$B$35</f>
        <v>0.82118863049095603</v>
      </c>
    </row>
    <row r="46" spans="2:7" ht="15" thickBot="1" x14ac:dyDescent="0.25">
      <c r="B46" s="5" t="s">
        <v>72</v>
      </c>
      <c r="C46" s="6">
        <f>[438]Tasas!$B$36</f>
        <v>1.0308037627738049</v>
      </c>
      <c r="D46" s="6">
        <f>[438]Tasas!$B$17</f>
        <v>1.0633508294271199</v>
      </c>
      <c r="E46" s="6">
        <f>[438]Tasas!$B$28</f>
        <v>1.0191484534523179</v>
      </c>
      <c r="F46" s="6">
        <f>[438]Tasas!$B$31</f>
        <v>1.2679528403001072</v>
      </c>
      <c r="G46" s="6">
        <f>[438]Tasas!$B$35</f>
        <v>1.0227841432898723</v>
      </c>
    </row>
    <row r="47" spans="2:7" ht="15" thickBot="1" x14ac:dyDescent="0.25">
      <c r="B47" s="5" t="s">
        <v>5</v>
      </c>
      <c r="C47" s="6">
        <f>[439]Tasas!$B$36</f>
        <v>1.0337036631640397</v>
      </c>
      <c r="D47" s="6">
        <f>[439]Tasas!$B$17</f>
        <v>1.0509340677572419</v>
      </c>
      <c r="E47" s="6">
        <f>[439]Tasas!$B$28</f>
        <v>1.0242686713515281</v>
      </c>
      <c r="F47" s="6">
        <f>[439]Tasas!$B$31</f>
        <v>1.010551948051948</v>
      </c>
      <c r="G47" s="6">
        <f>[439]Tasas!$B$35</f>
        <v>1.0754912099276113</v>
      </c>
    </row>
    <row r="48" spans="2:7" ht="15" thickBot="1" x14ac:dyDescent="0.25">
      <c r="B48" s="5" t="s">
        <v>73</v>
      </c>
      <c r="C48" s="6">
        <f>[440]Tasas!$B$36</f>
        <v>1.029974904730923</v>
      </c>
      <c r="D48" s="6">
        <f>[440]Tasas!$B$17</f>
        <v>0.99360970014746841</v>
      </c>
      <c r="E48" s="6">
        <f>[440]Tasas!$B$28</f>
        <v>1.028231484088989</v>
      </c>
      <c r="F48" s="6">
        <f>[440]Tasas!$B$31</f>
        <v>0.90839694656488545</v>
      </c>
      <c r="G48" s="6">
        <f>[440]Tasas!$B$35</f>
        <v>1.3899755501222495</v>
      </c>
    </row>
    <row r="49" spans="2:7" ht="15" thickBot="1" x14ac:dyDescent="0.25">
      <c r="B49" s="5" t="s">
        <v>74</v>
      </c>
      <c r="C49" s="6">
        <f>[441]Tasas!$B$36</f>
        <v>1.0109672105709204</v>
      </c>
      <c r="D49" s="6">
        <f>[441]Tasas!$B$17</f>
        <v>1.0142712165419256</v>
      </c>
      <c r="E49" s="6">
        <f>[441]Tasas!$B$28</f>
        <v>1.0203594331406856</v>
      </c>
      <c r="F49" s="6">
        <f>[441]Tasas!$B$31</f>
        <v>0.84408656265727222</v>
      </c>
      <c r="G49" s="6">
        <f>[441]Tasas!$B$35</f>
        <v>0.9016382014639247</v>
      </c>
    </row>
    <row r="50" spans="2:7" ht="15" thickBot="1" x14ac:dyDescent="0.25">
      <c r="B50" s="5" t="s">
        <v>75</v>
      </c>
      <c r="C50" s="6">
        <f>[442]Tasas!$B$36</f>
        <v>0.98387520813250373</v>
      </c>
      <c r="D50" s="6">
        <f>[442]Tasas!$B$17</f>
        <v>0.96823899371069178</v>
      </c>
      <c r="E50" s="6">
        <f>[442]Tasas!$B$28</f>
        <v>0.99336374948154293</v>
      </c>
      <c r="F50" s="6">
        <f>[442]Tasas!$B$31</f>
        <v>1.2956730769230769</v>
      </c>
      <c r="G50" s="6">
        <f>[442]Tasas!$B$35</f>
        <v>0.72852233676975942</v>
      </c>
    </row>
    <row r="51" spans="2:7" ht="15" thickBot="1" x14ac:dyDescent="0.25">
      <c r="B51" s="5" t="s">
        <v>76</v>
      </c>
      <c r="C51" s="6">
        <f>[443]Tasas!$B$36</f>
        <v>1.0229773632362189</v>
      </c>
      <c r="D51" s="6">
        <f>[443]Tasas!$B$17</f>
        <v>1.0049500651324359</v>
      </c>
      <c r="E51" s="6">
        <f>[443]Tasas!$B$28</f>
        <v>1.0251882442992684</v>
      </c>
      <c r="F51" s="6">
        <f>[443]Tasas!$B$31</f>
        <v>1.0725022104332449</v>
      </c>
      <c r="G51" s="6">
        <f>[443]Tasas!$B$35</f>
        <v>1.0915553640672124</v>
      </c>
    </row>
    <row r="52" spans="2:7" ht="15" thickBot="1" x14ac:dyDescent="0.25">
      <c r="B52" s="5" t="s">
        <v>77</v>
      </c>
      <c r="C52" s="6">
        <f>[444]Tasas!$B$36</f>
        <v>0.99517999698749815</v>
      </c>
      <c r="D52" s="6">
        <f>[444]Tasas!$B$17</f>
        <v>0.93718814206046375</v>
      </c>
      <c r="E52" s="6">
        <f>[444]Tasas!$B$28</f>
        <v>1.0155005382131324</v>
      </c>
      <c r="F52" s="6">
        <f>[444]Tasas!$B$31</f>
        <v>0.95569620253164556</v>
      </c>
      <c r="G52" s="6">
        <f>[444]Tasas!$B$35</f>
        <v>1.0307328605200945</v>
      </c>
    </row>
    <row r="53" spans="2:7" ht="15" thickBot="1" x14ac:dyDescent="0.25">
      <c r="B53" s="5" t="s">
        <v>78</v>
      </c>
      <c r="C53" s="6">
        <f>[445]Tasas!$B$36</f>
        <v>0.99731729357280019</v>
      </c>
      <c r="D53" s="6">
        <f>[445]Tasas!$B$17</f>
        <v>0.93820049813200501</v>
      </c>
      <c r="E53" s="6">
        <f>[445]Tasas!$B$28</f>
        <v>1.0036414972358925</v>
      </c>
      <c r="F53" s="6">
        <f>[445]Tasas!$B$31</f>
        <v>1.297583081570997</v>
      </c>
      <c r="G53" s="6">
        <f>[445]Tasas!$B$35</f>
        <v>1.1849255039439088</v>
      </c>
    </row>
    <row r="54" spans="2:7" ht="15" thickBot="1" x14ac:dyDescent="0.25">
      <c r="B54" s="5" t="s">
        <v>79</v>
      </c>
      <c r="C54" s="6">
        <f>[446]Tasas!$B$36</f>
        <v>0.99989017751871645</v>
      </c>
      <c r="D54" s="6">
        <f>[446]Tasas!$B$17</f>
        <v>1.0151449662268102</v>
      </c>
      <c r="E54" s="6">
        <f>[446]Tasas!$B$28</f>
        <v>1.0027153657757428</v>
      </c>
      <c r="F54" s="6">
        <f>[446]Tasas!$B$31</f>
        <v>1.2051139521956642</v>
      </c>
      <c r="G54" s="6">
        <f>[446]Tasas!$B$35</f>
        <v>0.81709336993043391</v>
      </c>
    </row>
    <row r="55" spans="2:7" ht="15" thickBot="1" x14ac:dyDescent="0.25">
      <c r="B55" s="5" t="s">
        <v>80</v>
      </c>
      <c r="C55" s="6">
        <f>[447]Tasas!$B$36</f>
        <v>1.024307795217277</v>
      </c>
      <c r="D55" s="6">
        <f>[447]Tasas!$B$17</f>
        <v>0.96799938900981408</v>
      </c>
      <c r="E55" s="6">
        <f>[447]Tasas!$B$28</f>
        <v>1.037782404194618</v>
      </c>
      <c r="F55" s="6">
        <f>[447]Tasas!$B$31</f>
        <v>1.220808383233533</v>
      </c>
      <c r="G55" s="6">
        <f>[447]Tasas!$B$35</f>
        <v>1.1430886779347071</v>
      </c>
    </row>
    <row r="56" spans="2:7" ht="15" thickBot="1" x14ac:dyDescent="0.25">
      <c r="B56" s="5" t="s">
        <v>81</v>
      </c>
      <c r="C56" s="6">
        <f>[448]Tasas!$B$36</f>
        <v>1.0078468511127647</v>
      </c>
      <c r="D56" s="6">
        <f>[448]Tasas!$B$17</f>
        <v>0.98143993473383639</v>
      </c>
      <c r="E56" s="6">
        <f>[448]Tasas!$B$28</f>
        <v>1.0196107436444708</v>
      </c>
      <c r="F56" s="6">
        <f>[448]Tasas!$B$31</f>
        <v>0.91183206106870229</v>
      </c>
      <c r="G56" s="6">
        <f>[448]Tasas!$B$35</f>
        <v>1.0231840620592383</v>
      </c>
    </row>
    <row r="57" spans="2:7" ht="15" thickBot="1" x14ac:dyDescent="0.25">
      <c r="B57" s="5" t="s">
        <v>82</v>
      </c>
      <c r="C57" s="6">
        <f>[449]Tasas!$B$36</f>
        <v>0.991746800938896</v>
      </c>
      <c r="D57" s="6">
        <f>[449]Tasas!$B$17</f>
        <v>0.97443643969323723</v>
      </c>
      <c r="E57" s="6">
        <f>[449]Tasas!$B$28</f>
        <v>1.0068455134135059</v>
      </c>
      <c r="F57" s="6">
        <f>[449]Tasas!$B$31</f>
        <v>0.87593984962406013</v>
      </c>
      <c r="G57" s="6">
        <f>[449]Tasas!$B$35</f>
        <v>0.95947219604147027</v>
      </c>
    </row>
    <row r="58" spans="2:7" ht="15" thickBot="1" x14ac:dyDescent="0.25">
      <c r="B58" s="5" t="s">
        <v>83</v>
      </c>
      <c r="C58" s="6">
        <f>[450]Tasas!$B$36</f>
        <v>1.007409916011921</v>
      </c>
      <c r="D58" s="6">
        <f>[450]Tasas!$B$17</f>
        <v>0.98574809221197057</v>
      </c>
      <c r="E58" s="6">
        <f>[450]Tasas!$B$28</f>
        <v>1.0113500183224553</v>
      </c>
      <c r="F58" s="6">
        <f>[450]Tasas!$B$31</f>
        <v>1.0322188449848024</v>
      </c>
      <c r="G58" s="6">
        <f>[450]Tasas!$B$35</f>
        <v>1.0581097478765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A49AD-0EC2-414F-B73A-CF198785126C}">
  <dimension ref="B7:G58"/>
  <sheetViews>
    <sheetView workbookViewId="0">
      <selection activeCell="A2" sqref="A2"/>
    </sheetView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f>[451]Tasas!$B$36</f>
        <v>1.012921299513551</v>
      </c>
      <c r="D9" s="6">
        <f>[451]Tasas!$B$17</f>
        <v>1.037986542883911</v>
      </c>
      <c r="E9" s="6">
        <f>[451]Tasas!$B$28</f>
        <v>1.0221283029240971</v>
      </c>
      <c r="F9" s="6">
        <f>[451]Tasas!$B$31</f>
        <v>1.1065737051792828</v>
      </c>
      <c r="G9" s="6">
        <f>[451]Tasas!$B$35</f>
        <v>0.85666666666666669</v>
      </c>
    </row>
    <row r="10" spans="2:7" s="8" customFormat="1" ht="20.100000000000001" customHeight="1" thickBot="1" x14ac:dyDescent="0.25">
      <c r="B10" s="5" t="s">
        <v>40</v>
      </c>
      <c r="C10" s="6">
        <f>[452]Tasas!$B$36</f>
        <v>1.0079967009126281</v>
      </c>
      <c r="D10" s="6">
        <f>[452]Tasas!$B$17</f>
        <v>1.0548221885594748</v>
      </c>
      <c r="E10" s="6">
        <f>[452]Tasas!$B$28</f>
        <v>1.0082660462570139</v>
      </c>
      <c r="F10" s="6">
        <f>[452]Tasas!$B$31</f>
        <v>1.3654485049833887</v>
      </c>
      <c r="G10" s="6">
        <f>[452]Tasas!$B$35</f>
        <v>0.78846153846153844</v>
      </c>
    </row>
    <row r="11" spans="2:7" s="8" customFormat="1" ht="20.100000000000001" customHeight="1" thickBot="1" x14ac:dyDescent="0.25">
      <c r="B11" s="5" t="s">
        <v>41</v>
      </c>
      <c r="C11" s="6">
        <f>[453]Tasas!$B$36</f>
        <v>1.0457250297248248</v>
      </c>
      <c r="D11" s="6">
        <f>[453]Tasas!$B$17</f>
        <v>1.1240291229349868</v>
      </c>
      <c r="E11" s="6">
        <f>[453]Tasas!$B$28</f>
        <v>1.0260376710368122</v>
      </c>
      <c r="F11" s="6">
        <f>[453]Tasas!$B$31</f>
        <v>1.2690371302706105</v>
      </c>
      <c r="G11" s="6">
        <f>[453]Tasas!$B$35</f>
        <v>0.93648736228127027</v>
      </c>
    </row>
    <row r="12" spans="2:7" s="8" customFormat="1" ht="20.100000000000001" customHeight="1" thickBot="1" x14ac:dyDescent="0.25">
      <c r="B12" s="5" t="s">
        <v>42</v>
      </c>
      <c r="C12" s="6">
        <f>[454]Tasas!$B$36</f>
        <v>1.045068414083455</v>
      </c>
      <c r="D12" s="6">
        <f>[454]Tasas!$B$17</f>
        <v>1.2141597379692617</v>
      </c>
      <c r="E12" s="6">
        <f>[454]Tasas!$B$28</f>
        <v>1.0141983438272384</v>
      </c>
      <c r="F12" s="6">
        <f>[454]Tasas!$B$31</f>
        <v>1.1313213703099512</v>
      </c>
      <c r="G12" s="6">
        <f>[454]Tasas!$B$35</f>
        <v>0.80411535968891767</v>
      </c>
    </row>
    <row r="13" spans="2:7" s="8" customFormat="1" ht="20.100000000000001" customHeight="1" thickBot="1" x14ac:dyDescent="0.25">
      <c r="B13" s="5" t="s">
        <v>43</v>
      </c>
      <c r="C13" s="6">
        <f>[455]Tasas!$B$36</f>
        <v>0.97639435315899092</v>
      </c>
      <c r="D13" s="6">
        <f>[455]Tasas!$B$17</f>
        <v>1.0096803652968036</v>
      </c>
      <c r="E13" s="6">
        <f>[455]Tasas!$B$28</f>
        <v>0.95552025416997621</v>
      </c>
      <c r="F13" s="6">
        <f>[455]Tasas!$B$31</f>
        <v>1.1598837209302326</v>
      </c>
      <c r="G13" s="6">
        <f>[455]Tasas!$B$35</f>
        <v>1.0796460176991149</v>
      </c>
    </row>
    <row r="14" spans="2:7" s="8" customFormat="1" ht="20.100000000000001" customHeight="1" thickBot="1" x14ac:dyDescent="0.25">
      <c r="B14" s="5" t="s">
        <v>44</v>
      </c>
      <c r="C14" s="6">
        <f>[456]Tasas!$B$36</f>
        <v>1.0113704668403125</v>
      </c>
      <c r="D14" s="6">
        <f>[456]Tasas!$B$17</f>
        <v>1.0295893719806763</v>
      </c>
      <c r="E14" s="6">
        <f>[456]Tasas!$B$28</f>
        <v>1.0129138617942024</v>
      </c>
      <c r="F14" s="6">
        <f>[456]Tasas!$B$31</f>
        <v>1.0012812299807816</v>
      </c>
      <c r="G14" s="6">
        <f>[456]Tasas!$B$35</f>
        <v>0.88733823902562803</v>
      </c>
    </row>
    <row r="15" spans="2:7" s="8" customFormat="1" ht="20.100000000000001" customHeight="1" thickBot="1" x14ac:dyDescent="0.25">
      <c r="B15" s="5" t="s">
        <v>45</v>
      </c>
      <c r="C15" s="6">
        <f>[457]Tasas!$B$36</f>
        <v>1.0475763100962674</v>
      </c>
      <c r="D15" s="6">
        <f>[457]Tasas!$B$17</f>
        <v>1.1610510112455639</v>
      </c>
      <c r="E15" s="6">
        <f>[457]Tasas!$B$28</f>
        <v>1.0211336053099382</v>
      </c>
      <c r="F15" s="6">
        <f>[457]Tasas!$B$31</f>
        <v>1.2404268675455117</v>
      </c>
      <c r="G15" s="6">
        <f>[457]Tasas!$B$35</f>
        <v>0.83465246798100445</v>
      </c>
    </row>
    <row r="16" spans="2:7" s="8" customFormat="1" ht="20.100000000000001" customHeight="1" thickBot="1" x14ac:dyDescent="0.25">
      <c r="B16" s="5" t="s">
        <v>46</v>
      </c>
      <c r="C16" s="6">
        <f>[458]Tasas!$B$36</f>
        <v>1.0244076877472215</v>
      </c>
      <c r="D16" s="6">
        <f>[458]Tasas!$B$17</f>
        <v>1.040461864170706</v>
      </c>
      <c r="E16" s="6">
        <f>[458]Tasas!$B$28</f>
        <v>1.0288017636315741</v>
      </c>
      <c r="F16" s="6">
        <f>[458]Tasas!$B$31</f>
        <v>1.2067838629704755</v>
      </c>
      <c r="G16" s="6">
        <f>[458]Tasas!$B$35</f>
        <v>0.87116517772286639</v>
      </c>
    </row>
    <row r="17" spans="2:7" s="8" customFormat="1" ht="20.100000000000001" customHeight="1" thickBot="1" x14ac:dyDescent="0.25">
      <c r="B17" s="5" t="s">
        <v>47</v>
      </c>
      <c r="C17" s="6">
        <f>[459]Tasas!$B$36</f>
        <v>1.0072909378797363</v>
      </c>
      <c r="D17" s="6">
        <f>[459]Tasas!$B$17</f>
        <v>1.0427709262660718</v>
      </c>
      <c r="E17" s="6">
        <f>[459]Tasas!$B$28</f>
        <v>1.0215283337781336</v>
      </c>
      <c r="F17" s="6">
        <f>[459]Tasas!$B$31</f>
        <v>0.96507352941176472</v>
      </c>
      <c r="G17" s="6">
        <f>[459]Tasas!$B$35</f>
        <v>0.77835172575722</v>
      </c>
    </row>
    <row r="18" spans="2:7" s="8" customFormat="1" ht="20.100000000000001" customHeight="1" thickBot="1" x14ac:dyDescent="0.25">
      <c r="B18" s="5" t="s">
        <v>48</v>
      </c>
      <c r="C18" s="6">
        <f>[460]Tasas!$B$36</f>
        <v>0.98497700967179325</v>
      </c>
      <c r="D18" s="6">
        <f>[460]Tasas!$B$17</f>
        <v>1.011018175969117</v>
      </c>
      <c r="E18" s="6">
        <f>[460]Tasas!$B$28</f>
        <v>0.98210145337329635</v>
      </c>
      <c r="F18" s="6">
        <f>[460]Tasas!$B$31</f>
        <v>0.96010638297872342</v>
      </c>
      <c r="G18" s="6">
        <f>[460]Tasas!$B$35</f>
        <v>0.87815126050420167</v>
      </c>
    </row>
    <row r="19" spans="2:7" s="8" customFormat="1" ht="20.100000000000001" customHeight="1" thickBot="1" x14ac:dyDescent="0.25">
      <c r="B19" s="5" t="s">
        <v>49</v>
      </c>
      <c r="C19" s="6">
        <f>[461]Tasas!$B$36</f>
        <v>1.0222475373584401</v>
      </c>
      <c r="D19" s="6">
        <f>[461]Tasas!$B$17</f>
        <v>1.1149673127652253</v>
      </c>
      <c r="E19" s="6">
        <f>[461]Tasas!$B$28</f>
        <v>1.00237837600312</v>
      </c>
      <c r="F19" s="6">
        <f>[461]Tasas!$B$31</f>
        <v>1.0200839875844441</v>
      </c>
      <c r="G19" s="6">
        <f>[461]Tasas!$B$35</f>
        <v>0.96818955360649295</v>
      </c>
    </row>
    <row r="20" spans="2:7" s="8" customFormat="1" ht="20.100000000000001" customHeight="1" thickBot="1" x14ac:dyDescent="0.25">
      <c r="B20" s="5" t="s">
        <v>50</v>
      </c>
      <c r="C20" s="6">
        <f>[462]Tasas!$B$36</f>
        <v>1.0271616641355761</v>
      </c>
      <c r="D20" s="6">
        <f>[462]Tasas!$B$17</f>
        <v>1.1074642214414261</v>
      </c>
      <c r="E20" s="6">
        <f>[462]Tasas!$B$28</f>
        <v>1.0231450614344224</v>
      </c>
      <c r="F20" s="6">
        <f>[462]Tasas!$B$31</f>
        <v>1.0683690280065898</v>
      </c>
      <c r="G20" s="6">
        <f>[462]Tasas!$B$35</f>
        <v>0.7218890554722639</v>
      </c>
    </row>
    <row r="21" spans="2:7" s="8" customFormat="1" ht="20.100000000000001" customHeight="1" thickBot="1" x14ac:dyDescent="0.25">
      <c r="B21" s="5" t="s">
        <v>51</v>
      </c>
      <c r="C21" s="6">
        <f>[463]Tasas!$B$36</f>
        <v>1.0266262217728346</v>
      </c>
      <c r="D21" s="6">
        <f>[463]Tasas!$B$17</f>
        <v>1.0872072072072072</v>
      </c>
      <c r="E21" s="6">
        <f>[463]Tasas!$B$28</f>
        <v>1.0214582546278805</v>
      </c>
      <c r="F21" s="6">
        <f>[463]Tasas!$B$31</f>
        <v>1.2888643880926129</v>
      </c>
      <c r="G21" s="6">
        <f>[463]Tasas!$B$35</f>
        <v>0.76209896682979883</v>
      </c>
    </row>
    <row r="22" spans="2:7" s="8" customFormat="1" ht="15" thickBot="1" x14ac:dyDescent="0.25">
      <c r="B22" s="5" t="s">
        <v>52</v>
      </c>
      <c r="C22" s="6">
        <f>[464]Tasas!$B$36</f>
        <v>1.019367991845056</v>
      </c>
      <c r="D22" s="6">
        <f>[464]Tasas!$B$17</f>
        <v>1.0939705882352941</v>
      </c>
      <c r="E22" s="6">
        <f>[464]Tasas!$B$28</f>
        <v>1.0196851552155364</v>
      </c>
      <c r="F22" s="6">
        <f>[464]Tasas!$B$31</f>
        <v>0.94541075729194546</v>
      </c>
      <c r="G22" s="6">
        <f>[464]Tasas!$B$35</f>
        <v>0.74087363494539782</v>
      </c>
    </row>
    <row r="23" spans="2:7" s="8" customFormat="1" ht="20.100000000000001" customHeight="1" thickBot="1" x14ac:dyDescent="0.25">
      <c r="B23" s="5" t="s">
        <v>53</v>
      </c>
      <c r="C23" s="6">
        <f>[465]Tasas!$B$36</f>
        <v>0.98520461267957637</v>
      </c>
      <c r="D23" s="6">
        <f>[465]Tasas!$B$17</f>
        <v>1.042137741046832</v>
      </c>
      <c r="E23" s="6">
        <f>[465]Tasas!$B$28</f>
        <v>0.97214766938708441</v>
      </c>
      <c r="F23" s="6">
        <f>[465]Tasas!$B$31</f>
        <v>1.0797672030126668</v>
      </c>
      <c r="G23" s="6">
        <f>[465]Tasas!$B$35</f>
        <v>0.86819484240687683</v>
      </c>
    </row>
    <row r="24" spans="2:7" s="8" customFormat="1" ht="20.100000000000001" customHeight="1" thickBot="1" x14ac:dyDescent="0.25">
      <c r="B24" s="5" t="s">
        <v>54</v>
      </c>
      <c r="C24" s="6">
        <f>[466]Tasas!$B$36</f>
        <v>1.008596596738246</v>
      </c>
      <c r="D24" s="6">
        <f>[466]Tasas!$B$17</f>
        <v>1.1205223222163403</v>
      </c>
      <c r="E24" s="6">
        <f>[466]Tasas!$B$28</f>
        <v>0.9917727338721386</v>
      </c>
      <c r="F24" s="6">
        <f>[466]Tasas!$B$31</f>
        <v>1.1448979591836734</v>
      </c>
      <c r="G24" s="6">
        <f>[466]Tasas!$B$35</f>
        <v>0.76434001382170003</v>
      </c>
    </row>
    <row r="25" spans="2:7" s="8" customFormat="1" ht="20.100000000000001" customHeight="1" thickBot="1" x14ac:dyDescent="0.25">
      <c r="B25" s="5" t="s">
        <v>55</v>
      </c>
      <c r="C25" s="6">
        <f>[467]Tasas!$B$36</f>
        <v>1.0294660878917057</v>
      </c>
      <c r="D25" s="6">
        <f>[467]Tasas!$B$17</f>
        <v>1.0311030997066413</v>
      </c>
      <c r="E25" s="6">
        <f>[467]Tasas!$B$28</f>
        <v>1.0312576131512885</v>
      </c>
      <c r="F25" s="6">
        <f>[467]Tasas!$B$31</f>
        <v>1.1810228802153433</v>
      </c>
      <c r="G25" s="6">
        <f>[467]Tasas!$B$35</f>
        <v>0.92274158391862438</v>
      </c>
    </row>
    <row r="26" spans="2:7" s="8" customFormat="1" ht="20.100000000000001" customHeight="1" thickBot="1" x14ac:dyDescent="0.25">
      <c r="B26" s="5" t="s">
        <v>56</v>
      </c>
      <c r="C26" s="6">
        <f>[468]Tasas!$B$36</f>
        <v>1.0164467014225271</v>
      </c>
      <c r="D26" s="6">
        <f>[468]Tasas!$B$17</f>
        <v>1.0946507722379759</v>
      </c>
      <c r="E26" s="6">
        <f>[468]Tasas!$B$28</f>
        <v>1.0052794905896103</v>
      </c>
      <c r="F26" s="6">
        <f>[468]Tasas!$B$31</f>
        <v>1.3750465549348232</v>
      </c>
      <c r="G26" s="6">
        <f>[468]Tasas!$B$35</f>
        <v>0.81451787648970753</v>
      </c>
    </row>
    <row r="27" spans="2:7" ht="15" thickBot="1" x14ac:dyDescent="0.25">
      <c r="B27" s="5" t="s">
        <v>57</v>
      </c>
      <c r="C27" s="6">
        <f>[469]Tasas!$B$36</f>
        <v>1.045732713745207</v>
      </c>
      <c r="D27" s="6">
        <f>[469]Tasas!$B$17</f>
        <v>1.0408864265927977</v>
      </c>
      <c r="E27" s="6">
        <f>[469]Tasas!$B$28</f>
        <v>1.0254798025955036</v>
      </c>
      <c r="F27" s="6">
        <f>[469]Tasas!$B$31</f>
        <v>2.2172523961661343</v>
      </c>
      <c r="G27" s="6">
        <f>[469]Tasas!$B$35</f>
        <v>0.98863157894736842</v>
      </c>
    </row>
    <row r="28" spans="2:7" ht="15" thickBot="1" x14ac:dyDescent="0.25">
      <c r="B28" s="5" t="s">
        <v>58</v>
      </c>
      <c r="C28" s="6">
        <f>[470]Tasas!$B$36</f>
        <v>1.005641643781144</v>
      </c>
      <c r="D28" s="6">
        <f>[470]Tasas!$B$17</f>
        <v>1.0525343493822885</v>
      </c>
      <c r="E28" s="6">
        <f>[470]Tasas!$B$28</f>
        <v>1.0182247660579631</v>
      </c>
      <c r="F28" s="6">
        <f>[470]Tasas!$B$31</f>
        <v>1.3710546574287914</v>
      </c>
      <c r="G28" s="6">
        <f>[470]Tasas!$B$35</f>
        <v>0.71527064691213149</v>
      </c>
    </row>
    <row r="29" spans="2:7" ht="15" thickBot="1" x14ac:dyDescent="0.25">
      <c r="B29" s="5" t="s">
        <v>59</v>
      </c>
      <c r="C29" s="6">
        <f>[471]Tasas!$B$36</f>
        <v>1.0380380273575041</v>
      </c>
      <c r="D29" s="6">
        <f>[471]Tasas!$B$17</f>
        <v>1.1601090103900529</v>
      </c>
      <c r="E29" s="6">
        <f>[471]Tasas!$B$28</f>
        <v>1.0284094964809343</v>
      </c>
      <c r="F29" s="6">
        <f>[471]Tasas!$B$31</f>
        <v>0.86809357889497263</v>
      </c>
      <c r="G29" s="6">
        <f>[471]Tasas!$B$35</f>
        <v>0.75820379965457685</v>
      </c>
    </row>
    <row r="30" spans="2:7" ht="15" thickBot="1" x14ac:dyDescent="0.25">
      <c r="B30" s="5" t="s">
        <v>60</v>
      </c>
      <c r="C30" s="6">
        <f>[472]Tasas!$B$36</f>
        <v>1.0139985642498206</v>
      </c>
      <c r="D30" s="6">
        <f>[472]Tasas!$B$17</f>
        <v>1.0683865683865683</v>
      </c>
      <c r="E30" s="6">
        <f>[472]Tasas!$B$28</f>
        <v>1.0034766697163768</v>
      </c>
      <c r="F30" s="6">
        <f>[472]Tasas!$B$31</f>
        <v>1.4619565217391304</v>
      </c>
      <c r="G30" s="6">
        <f>[472]Tasas!$B$35</f>
        <v>0.70879120879120883</v>
      </c>
    </row>
    <row r="31" spans="2:7" ht="15" thickBot="1" x14ac:dyDescent="0.25">
      <c r="B31" s="5" t="s">
        <v>61</v>
      </c>
      <c r="C31" s="6">
        <f>[473]Tasas!$B$36</f>
        <v>1.0192774055653746</v>
      </c>
      <c r="D31" s="6">
        <f>[473]Tasas!$B$17</f>
        <v>1.1192282894410555</v>
      </c>
      <c r="E31" s="6">
        <f>[473]Tasas!$B$28</f>
        <v>1.0037438311872482</v>
      </c>
      <c r="F31" s="6">
        <f>[473]Tasas!$B$31</f>
        <v>0.8617731172545281</v>
      </c>
      <c r="G31" s="6">
        <f>[473]Tasas!$B$35</f>
        <v>0.89770773638968482</v>
      </c>
    </row>
    <row r="32" spans="2:7" ht="15" thickBot="1" x14ac:dyDescent="0.25">
      <c r="B32" s="5" t="s">
        <v>62</v>
      </c>
      <c r="C32" s="6">
        <f>[474]Tasas!$B$36</f>
        <v>1.0183798140770253</v>
      </c>
      <c r="D32" s="6">
        <f>[474]Tasas!$B$17</f>
        <v>1.0518625330449412</v>
      </c>
      <c r="E32" s="6">
        <f>[474]Tasas!$B$28</f>
        <v>1.0352815926753967</v>
      </c>
      <c r="F32" s="6">
        <f>[474]Tasas!$B$31</f>
        <v>1.5299714557564223</v>
      </c>
      <c r="G32" s="6">
        <f>[474]Tasas!$B$35</f>
        <v>0.70535576477851525</v>
      </c>
    </row>
    <row r="33" spans="2:7" ht="15" thickBot="1" x14ac:dyDescent="0.25">
      <c r="B33" s="5" t="s">
        <v>63</v>
      </c>
      <c r="C33" s="6">
        <f>[475]Tasas!$B$36</f>
        <v>1.023221706184307</v>
      </c>
      <c r="D33" s="6">
        <f>[475]Tasas!$B$17</f>
        <v>1.1014397905759161</v>
      </c>
      <c r="E33" s="6">
        <f>[475]Tasas!$B$28</f>
        <v>1.0076627465506065</v>
      </c>
      <c r="F33" s="6">
        <f>[475]Tasas!$B$31</f>
        <v>0.94972826086956519</v>
      </c>
      <c r="G33" s="6">
        <f>[475]Tasas!$B$35</f>
        <v>0.80538783093358102</v>
      </c>
    </row>
    <row r="34" spans="2:7" ht="15" thickBot="1" x14ac:dyDescent="0.25">
      <c r="B34" s="5" t="s">
        <v>64</v>
      </c>
      <c r="C34" s="6">
        <f>[476]Tasas!$B$36</f>
        <v>0.99335860826544053</v>
      </c>
      <c r="D34" s="6">
        <f>[476]Tasas!$B$17</f>
        <v>1.0247146580390043</v>
      </c>
      <c r="E34" s="6">
        <f>[476]Tasas!$B$28</f>
        <v>1.0203238977840987</v>
      </c>
      <c r="F34" s="6">
        <f>[476]Tasas!$B$31</f>
        <v>0.84951974386339379</v>
      </c>
      <c r="G34" s="6">
        <f>[476]Tasas!$B$35</f>
        <v>0.7525525525525526</v>
      </c>
    </row>
    <row r="35" spans="2:7" ht="15" thickBot="1" x14ac:dyDescent="0.25">
      <c r="B35" s="5" t="s">
        <v>65</v>
      </c>
      <c r="C35" s="6">
        <f>[477]Tasas!$B$36</f>
        <v>0.98596930786094583</v>
      </c>
      <c r="D35" s="6">
        <f>[477]Tasas!$B$17</f>
        <v>0.99807252998286689</v>
      </c>
      <c r="E35" s="6">
        <f>[477]Tasas!$B$28</f>
        <v>0.99192761763815551</v>
      </c>
      <c r="F35" s="6">
        <f>[477]Tasas!$B$31</f>
        <v>1.5278745644599303</v>
      </c>
      <c r="G35" s="6">
        <f>[477]Tasas!$B$35</f>
        <v>0.80234505862646566</v>
      </c>
    </row>
    <row r="36" spans="2:7" ht="15" thickBot="1" x14ac:dyDescent="0.25">
      <c r="B36" s="5" t="s">
        <v>32</v>
      </c>
      <c r="C36" s="6">
        <f>[478]Tasas!$B$36</f>
        <v>1.0348649968232706</v>
      </c>
      <c r="D36" s="6">
        <f>[478]Tasas!$B$17</f>
        <v>1.0901293446350042</v>
      </c>
      <c r="E36" s="6">
        <f>[478]Tasas!$B$28</f>
        <v>1.0213127354506895</v>
      </c>
      <c r="F36" s="6">
        <f>[478]Tasas!$B$31</f>
        <v>1.5122998011095992</v>
      </c>
      <c r="G36" s="6">
        <f>[478]Tasas!$B$35</f>
        <v>0.87651532024563306</v>
      </c>
    </row>
    <row r="37" spans="2:7" ht="15" thickBot="1" x14ac:dyDescent="0.25">
      <c r="B37" s="5" t="s">
        <v>66</v>
      </c>
      <c r="C37" s="6">
        <f>[479]Tasas!$B$36</f>
        <v>1.0344965813688567</v>
      </c>
      <c r="D37" s="6">
        <f>[479]Tasas!$B$17</f>
        <v>1.1865481704009679</v>
      </c>
      <c r="E37" s="6">
        <f>[479]Tasas!$B$28</f>
        <v>1.0100446908476928</v>
      </c>
      <c r="F37" s="6">
        <f>[479]Tasas!$B$31</f>
        <v>1.1938669438669438</v>
      </c>
      <c r="G37" s="6">
        <f>[479]Tasas!$B$35</f>
        <v>0.81352663430205496</v>
      </c>
    </row>
    <row r="38" spans="2:7" ht="15" thickBot="1" x14ac:dyDescent="0.25">
      <c r="B38" s="5" t="s">
        <v>33</v>
      </c>
      <c r="C38" s="6">
        <f>[480]Tasas!$B$36</f>
        <v>1.0335320830973873</v>
      </c>
      <c r="D38" s="6">
        <f>[480]Tasas!$B$17</f>
        <v>1.0952404111143534</v>
      </c>
      <c r="E38" s="6">
        <f>[480]Tasas!$B$28</f>
        <v>1.0055566755056575</v>
      </c>
      <c r="F38" s="6">
        <f>[480]Tasas!$B$31</f>
        <v>1.7489099769171583</v>
      </c>
      <c r="G38" s="6">
        <f>[480]Tasas!$B$35</f>
        <v>0.9273086242484071</v>
      </c>
    </row>
    <row r="39" spans="2:7" ht="15" thickBot="1" x14ac:dyDescent="0.25">
      <c r="B39" s="5" t="s">
        <v>34</v>
      </c>
      <c r="C39" s="6">
        <f>[481]Tasas!$B$36</f>
        <v>1.0099649209946295</v>
      </c>
      <c r="D39" s="6">
        <f>[481]Tasas!$B$17</f>
        <v>1.0386537820726425</v>
      </c>
      <c r="E39" s="6">
        <f>[481]Tasas!$B$28</f>
        <v>1.0137267978214961</v>
      </c>
      <c r="F39" s="6">
        <f>[481]Tasas!$B$31</f>
        <v>1.4565050038491147</v>
      </c>
      <c r="G39" s="6">
        <f>[481]Tasas!$B$35</f>
        <v>0.75475923852183646</v>
      </c>
    </row>
    <row r="40" spans="2:7" ht="15" thickBot="1" x14ac:dyDescent="0.25">
      <c r="B40" s="5" t="s">
        <v>67</v>
      </c>
      <c r="C40" s="6">
        <f>[482]Tasas!$B$36</f>
        <v>1.0139090851615351</v>
      </c>
      <c r="D40" s="6">
        <f>[482]Tasas!$B$17</f>
        <v>0.97136748873787893</v>
      </c>
      <c r="E40" s="6">
        <f>[482]Tasas!$B$28</f>
        <v>1.0351339771266603</v>
      </c>
      <c r="F40" s="6">
        <f>[482]Tasas!$B$31</f>
        <v>1.2682119205298013</v>
      </c>
      <c r="G40" s="6">
        <f>[482]Tasas!$B$35</f>
        <v>0.94338515693751834</v>
      </c>
    </row>
    <row r="41" spans="2:7" ht="15" thickBot="1" x14ac:dyDescent="0.25">
      <c r="B41" s="5" t="s">
        <v>31</v>
      </c>
      <c r="C41" s="6">
        <f>[483]Tasas!$B$36</f>
        <v>1.012381879481457</v>
      </c>
      <c r="D41" s="6">
        <f>[483]Tasas!$B$17</f>
        <v>1.0578110263225584</v>
      </c>
      <c r="E41" s="6">
        <f>[483]Tasas!$B$28</f>
        <v>1.0123078378506221</v>
      </c>
      <c r="F41" s="6">
        <f>[483]Tasas!$B$31</f>
        <v>1.1420718816067654</v>
      </c>
      <c r="G41" s="6">
        <f>[483]Tasas!$B$35</f>
        <v>0.83650909090909087</v>
      </c>
    </row>
    <row r="42" spans="2:7" ht="15" thickBot="1" x14ac:dyDescent="0.25">
      <c r="B42" s="5" t="s">
        <v>68</v>
      </c>
      <c r="C42" s="6">
        <f>[484]Tasas!$B$36</f>
        <v>0.99977733244266309</v>
      </c>
      <c r="D42" s="6">
        <f>[484]Tasas!$B$17</f>
        <v>0.9988114693210518</v>
      </c>
      <c r="E42" s="6">
        <f>[484]Tasas!$B$28</f>
        <v>1.0052167156889948</v>
      </c>
      <c r="F42" s="6">
        <f>[484]Tasas!$B$31</f>
        <v>0.84153846153846157</v>
      </c>
      <c r="G42" s="6">
        <f>[484]Tasas!$B$35</f>
        <v>1.0071151358344115</v>
      </c>
    </row>
    <row r="43" spans="2:7" ht="15" thickBot="1" x14ac:dyDescent="0.25">
      <c r="B43" s="5" t="s">
        <v>69</v>
      </c>
      <c r="C43" s="6">
        <f>[485]Tasas!$B$36</f>
        <v>1.0395355679786342</v>
      </c>
      <c r="D43" s="6">
        <f>[485]Tasas!$B$17</f>
        <v>1.1498516651424238</v>
      </c>
      <c r="E43" s="6">
        <f>[485]Tasas!$B$28</f>
        <v>1.0174532042648003</v>
      </c>
      <c r="F43" s="6">
        <f>[485]Tasas!$B$31</f>
        <v>1.1347611202635914</v>
      </c>
      <c r="G43" s="6">
        <f>[485]Tasas!$B$35</f>
        <v>0.91769605421048916</v>
      </c>
    </row>
    <row r="44" spans="2:7" ht="15" thickBot="1" x14ac:dyDescent="0.25">
      <c r="B44" s="5" t="s">
        <v>70</v>
      </c>
      <c r="C44" s="6">
        <f>[486]Tasas!$B$36</f>
        <v>1.0011774344950326</v>
      </c>
      <c r="D44" s="6">
        <f>[486]Tasas!$B$17</f>
        <v>1.0418491917013186</v>
      </c>
      <c r="E44" s="6">
        <f>[486]Tasas!$B$28</f>
        <v>0.99071588893597651</v>
      </c>
      <c r="F44" s="6">
        <f>[486]Tasas!$B$31</f>
        <v>1.2022922636103153</v>
      </c>
      <c r="G44" s="6">
        <f>[486]Tasas!$B$35</f>
        <v>0.91782304891250865</v>
      </c>
    </row>
    <row r="45" spans="2:7" ht="15" thickBot="1" x14ac:dyDescent="0.25">
      <c r="B45" s="5" t="s">
        <v>71</v>
      </c>
      <c r="C45" s="6">
        <f>[487]Tasas!$B$36</f>
        <v>1.0105609488606362</v>
      </c>
      <c r="D45" s="6">
        <f>[487]Tasas!$B$17</f>
        <v>1.0488083578191316</v>
      </c>
      <c r="E45" s="6">
        <f>[487]Tasas!$B$28</f>
        <v>1.0091166578155426</v>
      </c>
      <c r="F45" s="6">
        <f>[487]Tasas!$B$31</f>
        <v>1.2720403022670026</v>
      </c>
      <c r="G45" s="6">
        <f>[487]Tasas!$B$35</f>
        <v>0.73759791122715401</v>
      </c>
    </row>
    <row r="46" spans="2:7" ht="15" thickBot="1" x14ac:dyDescent="0.25">
      <c r="B46" s="5" t="s">
        <v>72</v>
      </c>
      <c r="C46" s="6">
        <f>[488]Tasas!$B$36</f>
        <v>1.0476104374555029</v>
      </c>
      <c r="D46" s="6">
        <f>[488]Tasas!$B$17</f>
        <v>1.1940925905167583</v>
      </c>
      <c r="E46" s="6">
        <f>[488]Tasas!$B$28</f>
        <v>1.023323076923077</v>
      </c>
      <c r="F46" s="6">
        <f>[488]Tasas!$B$31</f>
        <v>1.1612200435729847</v>
      </c>
      <c r="G46" s="6">
        <f>[488]Tasas!$B$35</f>
        <v>0.78864318257584176</v>
      </c>
    </row>
    <row r="47" spans="2:7" ht="15" thickBot="1" x14ac:dyDescent="0.25">
      <c r="B47" s="5" t="s">
        <v>5</v>
      </c>
      <c r="C47" s="6">
        <f>[489]Tasas!$B$36</f>
        <v>1.0282596302630507</v>
      </c>
      <c r="D47" s="6">
        <f>[489]Tasas!$B$17</f>
        <v>1.0586967335433592</v>
      </c>
      <c r="E47" s="6">
        <f>[489]Tasas!$B$28</f>
        <v>1.0279092027895529</v>
      </c>
      <c r="F47" s="6">
        <f>[489]Tasas!$B$31</f>
        <v>1.2930310663308144</v>
      </c>
      <c r="G47" s="6">
        <f>[489]Tasas!$B$35</f>
        <v>0.82816901408450705</v>
      </c>
    </row>
    <row r="48" spans="2:7" ht="15" thickBot="1" x14ac:dyDescent="0.25">
      <c r="B48" s="5" t="s">
        <v>73</v>
      </c>
      <c r="C48" s="6">
        <f>[490]Tasas!$B$36</f>
        <v>1.0129733198863116</v>
      </c>
      <c r="D48" s="6">
        <f>[490]Tasas!$B$17</f>
        <v>1.1178087571176125</v>
      </c>
      <c r="E48" s="6">
        <f>[490]Tasas!$B$28</f>
        <v>1.0018514844938173</v>
      </c>
      <c r="F48" s="6">
        <f>[490]Tasas!$B$31</f>
        <v>1.0271604938271606</v>
      </c>
      <c r="G48" s="6">
        <f>[490]Tasas!$B$35</f>
        <v>0.70159262363788766</v>
      </c>
    </row>
    <row r="49" spans="2:7" ht="15" thickBot="1" x14ac:dyDescent="0.25">
      <c r="B49" s="5" t="s">
        <v>74</v>
      </c>
      <c r="C49" s="6">
        <f>[491]Tasas!$B$36</f>
        <v>1.0219217991796852</v>
      </c>
      <c r="D49" s="6">
        <f>[491]Tasas!$B$17</f>
        <v>1.1075408886959039</v>
      </c>
      <c r="E49" s="6">
        <f>[491]Tasas!$B$28</f>
        <v>1.0149155368643041</v>
      </c>
      <c r="F49" s="6">
        <f>[491]Tasas!$B$31</f>
        <v>1.3095500966050235</v>
      </c>
      <c r="G49" s="6">
        <f>[491]Tasas!$B$35</f>
        <v>0.70867825228879999</v>
      </c>
    </row>
    <row r="50" spans="2:7" ht="15" thickBot="1" x14ac:dyDescent="0.25">
      <c r="B50" s="5" t="s">
        <v>75</v>
      </c>
      <c r="C50" s="6">
        <f>[492]Tasas!$B$36</f>
        <v>0.99133978604177275</v>
      </c>
      <c r="D50" s="6">
        <f>[492]Tasas!$B$17</f>
        <v>1.0489604292421193</v>
      </c>
      <c r="E50" s="6">
        <f>[492]Tasas!$B$28</f>
        <v>1.0001299883010528</v>
      </c>
      <c r="F50" s="6">
        <f>[492]Tasas!$B$31</f>
        <v>0.85767790262172283</v>
      </c>
      <c r="G50" s="6">
        <f>[492]Tasas!$B$35</f>
        <v>0.69595782073813706</v>
      </c>
    </row>
    <row r="51" spans="2:7" ht="15" thickBot="1" x14ac:dyDescent="0.25">
      <c r="B51" s="5" t="s">
        <v>76</v>
      </c>
      <c r="C51" s="6">
        <f>[493]Tasas!$B$36</f>
        <v>1.0481026670785707</v>
      </c>
      <c r="D51" s="6">
        <f>[493]Tasas!$B$17</f>
        <v>1.0816813509544787</v>
      </c>
      <c r="E51" s="6">
        <f>[493]Tasas!$B$28</f>
        <v>1.0390123287200796</v>
      </c>
      <c r="F51" s="6">
        <f>[493]Tasas!$B$31</f>
        <v>1.1490384615384615</v>
      </c>
      <c r="G51" s="6">
        <f>[493]Tasas!$B$35</f>
        <v>1.0149073327961322</v>
      </c>
    </row>
    <row r="52" spans="2:7" ht="15" thickBot="1" x14ac:dyDescent="0.25">
      <c r="B52" s="5" t="s">
        <v>77</v>
      </c>
      <c r="C52" s="6">
        <f>[494]Tasas!$B$36</f>
        <v>0.99954082804010103</v>
      </c>
      <c r="D52" s="6">
        <f>[494]Tasas!$B$17</f>
        <v>1.0073726541554959</v>
      </c>
      <c r="E52" s="6">
        <f>[494]Tasas!$B$28</f>
        <v>0.99881235154394299</v>
      </c>
      <c r="F52" s="6">
        <f>[494]Tasas!$B$31</f>
        <v>1.1323529411764706</v>
      </c>
      <c r="G52" s="6">
        <f>[494]Tasas!$B$35</f>
        <v>0.92868719611021067</v>
      </c>
    </row>
    <row r="53" spans="2:7" ht="15" thickBot="1" x14ac:dyDescent="0.25">
      <c r="B53" s="5" t="s">
        <v>78</v>
      </c>
      <c r="C53" s="6">
        <f>[495]Tasas!$B$36</f>
        <v>1.0214013401109057</v>
      </c>
      <c r="D53" s="6">
        <f>[495]Tasas!$B$17</f>
        <v>1.1081372457110716</v>
      </c>
      <c r="E53" s="6">
        <f>[495]Tasas!$B$28</f>
        <v>0.988849765258216</v>
      </c>
      <c r="F53" s="6">
        <f>[495]Tasas!$B$31</f>
        <v>1.2921174652241112</v>
      </c>
      <c r="G53" s="6">
        <f>[495]Tasas!$B$35</f>
        <v>1.0861086765994741</v>
      </c>
    </row>
    <row r="54" spans="2:7" ht="15" thickBot="1" x14ac:dyDescent="0.25">
      <c r="B54" s="5" t="s">
        <v>79</v>
      </c>
      <c r="C54" s="6">
        <f>[496]Tasas!$B$36</f>
        <v>1.0031074171976897</v>
      </c>
      <c r="D54" s="6">
        <f>[496]Tasas!$B$17</f>
        <v>1.0525252525252524</v>
      </c>
      <c r="E54" s="6">
        <f>[496]Tasas!$B$28</f>
        <v>0.99874937687484144</v>
      </c>
      <c r="F54" s="6">
        <f>[496]Tasas!$B$31</f>
        <v>1.2454962910632286</v>
      </c>
      <c r="G54" s="6">
        <f>[496]Tasas!$B$35</f>
        <v>0.78317795732338924</v>
      </c>
    </row>
    <row r="55" spans="2:7" ht="15" thickBot="1" x14ac:dyDescent="0.25">
      <c r="B55" s="5" t="s">
        <v>80</v>
      </c>
      <c r="C55" s="6">
        <f>[497]Tasas!$B$36</f>
        <v>1.0493211850600375</v>
      </c>
      <c r="D55" s="6">
        <f>[497]Tasas!$B$17</f>
        <v>1.0469989453895181</v>
      </c>
      <c r="E55" s="6">
        <f>[497]Tasas!$B$28</f>
        <v>1.0519353529390059</v>
      </c>
      <c r="F55" s="6">
        <f>[497]Tasas!$B$31</f>
        <v>1.3143393863494051</v>
      </c>
      <c r="G55" s="6">
        <f>[497]Tasas!$B$35</f>
        <v>0.95149324709910599</v>
      </c>
    </row>
    <row r="56" spans="2:7" ht="15" thickBot="1" x14ac:dyDescent="0.25">
      <c r="B56" s="5" t="s">
        <v>81</v>
      </c>
      <c r="C56" s="6">
        <f>[498]Tasas!$B$36</f>
        <v>0.99227038103390142</v>
      </c>
      <c r="D56" s="6">
        <f>[498]Tasas!$B$17</f>
        <v>1.044416657605741</v>
      </c>
      <c r="E56" s="6">
        <f>[498]Tasas!$B$28</f>
        <v>1.0155232849273912</v>
      </c>
      <c r="F56" s="6">
        <f>[498]Tasas!$B$31</f>
        <v>1.1360415682569673</v>
      </c>
      <c r="G56" s="6">
        <f>[498]Tasas!$B$35</f>
        <v>0.69825968816717343</v>
      </c>
    </row>
    <row r="57" spans="2:7" ht="15" thickBot="1" x14ac:dyDescent="0.25">
      <c r="B57" s="5" t="s">
        <v>82</v>
      </c>
      <c r="C57" s="6">
        <f>[499]Tasas!$B$36</f>
        <v>1.0248486032428208</v>
      </c>
      <c r="D57" s="6">
        <f>[499]Tasas!$B$17</f>
        <v>1.007958615200955</v>
      </c>
      <c r="E57" s="6">
        <f>[499]Tasas!$B$28</f>
        <v>1.0478199718706047</v>
      </c>
      <c r="F57" s="6">
        <f>[499]Tasas!$B$31</f>
        <v>1.1331521739130435</v>
      </c>
      <c r="G57" s="6">
        <f>[499]Tasas!$B$35</f>
        <v>0.8089887640449438</v>
      </c>
    </row>
    <row r="58" spans="2:7" ht="15" thickBot="1" x14ac:dyDescent="0.25">
      <c r="B58" s="5" t="s">
        <v>83</v>
      </c>
      <c r="C58" s="6">
        <f>[500]Tasas!$B$36</f>
        <v>1.0143800709134869</v>
      </c>
      <c r="D58" s="6">
        <f>[500]Tasas!$B$17</f>
        <v>1.0725219339182379</v>
      </c>
      <c r="E58" s="6">
        <f>[500]Tasas!$B$28</f>
        <v>1.0084175084175084</v>
      </c>
      <c r="F58" s="6">
        <f>[500]Tasas!$B$31</f>
        <v>1.2524084778420039</v>
      </c>
      <c r="G58" s="6">
        <f>[500]Tasas!$B$35</f>
        <v>0.8305821994200312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B5F8E-4CAC-4DCE-874E-000D0E7D43BB}">
  <dimension ref="B7:G58"/>
  <sheetViews>
    <sheetView workbookViewId="0">
      <selection activeCell="A2" sqref="A2"/>
    </sheetView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f>[501]Tasas!$B$36</f>
        <v>0.99222247913732575</v>
      </c>
      <c r="D9" s="6">
        <f>[501]Tasas!$B$17</f>
        <v>0.94782074892572132</v>
      </c>
      <c r="E9" s="6">
        <f>[501]Tasas!$B$28</f>
        <v>1.0028019613729611</v>
      </c>
      <c r="F9" s="6">
        <f>[501]Tasas!$B$31</f>
        <v>1.205223880597015</v>
      </c>
      <c r="G9" s="6">
        <f>[501]Tasas!$B$35</f>
        <v>1.0017191977077364</v>
      </c>
    </row>
    <row r="10" spans="2:7" s="8" customFormat="1" ht="20.100000000000001" customHeight="1" thickBot="1" x14ac:dyDescent="0.25">
      <c r="B10" s="5" t="s">
        <v>40</v>
      </c>
      <c r="C10" s="6">
        <f>[502]Tasas!$B$36</f>
        <v>0.9983162060824885</v>
      </c>
      <c r="D10" s="6">
        <f>[502]Tasas!$B$17</f>
        <v>1.0098490662573549</v>
      </c>
      <c r="E10" s="6">
        <f>[502]Tasas!$B$28</f>
        <v>1.0053535216979856</v>
      </c>
      <c r="F10" s="6">
        <f>[502]Tasas!$B$31</f>
        <v>1.1049270072992701</v>
      </c>
      <c r="G10" s="6">
        <f>[502]Tasas!$B$35</f>
        <v>0.85505011565150346</v>
      </c>
    </row>
    <row r="11" spans="2:7" s="8" customFormat="1" ht="20.100000000000001" customHeight="1" thickBot="1" x14ac:dyDescent="0.25">
      <c r="B11" s="5" t="s">
        <v>41</v>
      </c>
      <c r="C11" s="6">
        <f>[503]Tasas!$B$36</f>
        <v>1.0041358888506939</v>
      </c>
      <c r="D11" s="6">
        <f>[503]Tasas!$B$17</f>
        <v>1.0226345128161909</v>
      </c>
      <c r="E11" s="6">
        <f>[503]Tasas!$B$28</f>
        <v>1.0030415342107608</v>
      </c>
      <c r="F11" s="6">
        <f>[503]Tasas!$B$31</f>
        <v>1.27318763326226</v>
      </c>
      <c r="G11" s="6">
        <f>[503]Tasas!$B$35</f>
        <v>0.83570252880442919</v>
      </c>
    </row>
    <row r="12" spans="2:7" s="8" customFormat="1" ht="20.100000000000001" customHeight="1" thickBot="1" x14ac:dyDescent="0.25">
      <c r="B12" s="5" t="s">
        <v>42</v>
      </c>
      <c r="C12" s="6">
        <f>[504]Tasas!$B$36</f>
        <v>1.0001444215602553</v>
      </c>
      <c r="D12" s="6">
        <f>[504]Tasas!$B$17</f>
        <v>1.0092484160586133</v>
      </c>
      <c r="E12" s="6">
        <f>[504]Tasas!$B$28</f>
        <v>1.0011619918406121</v>
      </c>
      <c r="F12" s="6">
        <f>[504]Tasas!$B$31</f>
        <v>1.3937007874015748</v>
      </c>
      <c r="G12" s="6">
        <f>[504]Tasas!$B$35</f>
        <v>0.75669444937045571</v>
      </c>
    </row>
    <row r="13" spans="2:7" s="8" customFormat="1" ht="20.100000000000001" customHeight="1" thickBot="1" x14ac:dyDescent="0.25">
      <c r="B13" s="5" t="s">
        <v>43</v>
      </c>
      <c r="C13" s="6">
        <f>[505]Tasas!$B$36</f>
        <v>0.97593441466854725</v>
      </c>
      <c r="D13" s="6">
        <f>[505]Tasas!$B$17</f>
        <v>0.98350851757883295</v>
      </c>
      <c r="E13" s="6">
        <f>[505]Tasas!$B$28</f>
        <v>0.97751559701031565</v>
      </c>
      <c r="F13" s="6">
        <f>[505]Tasas!$B$31</f>
        <v>0.98910081743869205</v>
      </c>
      <c r="G13" s="6">
        <f>[505]Tasas!$B$35</f>
        <v>0.85830618892508148</v>
      </c>
    </row>
    <row r="14" spans="2:7" s="8" customFormat="1" ht="20.100000000000001" customHeight="1" thickBot="1" x14ac:dyDescent="0.25">
      <c r="B14" s="5" t="s">
        <v>44</v>
      </c>
      <c r="C14" s="6">
        <f>[506]Tasas!$B$36</f>
        <v>1.0091311622592229</v>
      </c>
      <c r="D14" s="6">
        <f>[506]Tasas!$B$17</f>
        <v>1.0040123456790124</v>
      </c>
      <c r="E14" s="6">
        <f>[506]Tasas!$B$28</f>
        <v>1.0186901141775202</v>
      </c>
      <c r="F14" s="6">
        <f>[506]Tasas!$B$31</f>
        <v>1.1985018726591761</v>
      </c>
      <c r="G14" s="6">
        <f>[506]Tasas!$B$35</f>
        <v>0.79666500746640123</v>
      </c>
    </row>
    <row r="15" spans="2:7" s="8" customFormat="1" ht="20.100000000000001" customHeight="1" thickBot="1" x14ac:dyDescent="0.25">
      <c r="B15" s="5" t="s">
        <v>45</v>
      </c>
      <c r="C15" s="6">
        <f>[507]Tasas!$B$36</f>
        <v>1.0456492901190306</v>
      </c>
      <c r="D15" s="6">
        <f>[507]Tasas!$B$17</f>
        <v>1.08969013006886</v>
      </c>
      <c r="E15" s="6">
        <f>[507]Tasas!$B$28</f>
        <v>1.0403314711820737</v>
      </c>
      <c r="F15" s="6">
        <f>[507]Tasas!$B$31</f>
        <v>1.1459506279774794</v>
      </c>
      <c r="G15" s="6">
        <f>[507]Tasas!$B$35</f>
        <v>0.80917431192660549</v>
      </c>
    </row>
    <row r="16" spans="2:7" s="8" customFormat="1" ht="20.100000000000001" customHeight="1" thickBot="1" x14ac:dyDescent="0.25">
      <c r="B16" s="5" t="s">
        <v>46</v>
      </c>
      <c r="C16" s="6">
        <f>[508]Tasas!$B$36</f>
        <v>1.0163028560552176</v>
      </c>
      <c r="D16" s="6">
        <f>[508]Tasas!$B$17</f>
        <v>0.99985340559739311</v>
      </c>
      <c r="E16" s="6">
        <f>[508]Tasas!$B$28</f>
        <v>1.0273801848884365</v>
      </c>
      <c r="F16" s="6">
        <f>[508]Tasas!$B$31</f>
        <v>1.2563038969544809</v>
      </c>
      <c r="G16" s="6">
        <f>[508]Tasas!$B$35</f>
        <v>0.89769100437369476</v>
      </c>
    </row>
    <row r="17" spans="2:7" s="8" customFormat="1" ht="20.100000000000001" customHeight="1" thickBot="1" x14ac:dyDescent="0.25">
      <c r="B17" s="5" t="s">
        <v>47</v>
      </c>
      <c r="C17" s="6">
        <f>[509]Tasas!$B$36</f>
        <v>1.0213010833226768</v>
      </c>
      <c r="D17" s="6">
        <f>[509]Tasas!$B$17</f>
        <v>1.0201687318745056</v>
      </c>
      <c r="E17" s="6">
        <f>[509]Tasas!$B$28</f>
        <v>1.0144144656412588</v>
      </c>
      <c r="F17" s="6">
        <f>[509]Tasas!$B$31</f>
        <v>1.4787644787644787</v>
      </c>
      <c r="G17" s="6">
        <f>[509]Tasas!$B$35</f>
        <v>0.95741512805241213</v>
      </c>
    </row>
    <row r="18" spans="2:7" s="8" customFormat="1" ht="20.100000000000001" customHeight="1" thickBot="1" x14ac:dyDescent="0.25">
      <c r="B18" s="5" t="s">
        <v>48</v>
      </c>
      <c r="C18" s="6">
        <f>[510]Tasas!$B$36</f>
        <v>0.9823072163353701</v>
      </c>
      <c r="D18" s="6">
        <f>[510]Tasas!$B$17</f>
        <v>1.0021641551779417</v>
      </c>
      <c r="E18" s="6">
        <f>[510]Tasas!$B$28</f>
        <v>0.98624548636952503</v>
      </c>
      <c r="F18" s="6">
        <f>[510]Tasas!$B$31</f>
        <v>1.1434210526315789</v>
      </c>
      <c r="G18" s="6">
        <f>[510]Tasas!$B$35</f>
        <v>0.74920490686051799</v>
      </c>
    </row>
    <row r="19" spans="2:7" s="8" customFormat="1" ht="20.100000000000001" customHeight="1" thickBot="1" x14ac:dyDescent="0.25">
      <c r="B19" s="5" t="s">
        <v>49</v>
      </c>
      <c r="C19" s="6">
        <f>[511]Tasas!$B$36</f>
        <v>1.0162819455894476</v>
      </c>
      <c r="D19" s="6">
        <f>[511]Tasas!$B$17</f>
        <v>1.0125957481669603</v>
      </c>
      <c r="E19" s="6">
        <f>[511]Tasas!$B$28</f>
        <v>1.0125490322858743</v>
      </c>
      <c r="F19" s="6">
        <f>[511]Tasas!$B$31</f>
        <v>1.3494704992435704</v>
      </c>
      <c r="G19" s="6">
        <f>[511]Tasas!$B$35</f>
        <v>0.93671940049958369</v>
      </c>
    </row>
    <row r="20" spans="2:7" s="8" customFormat="1" ht="20.100000000000001" customHeight="1" thickBot="1" x14ac:dyDescent="0.25">
      <c r="B20" s="5" t="s">
        <v>50</v>
      </c>
      <c r="C20" s="6">
        <f>[512]Tasas!$B$36</f>
        <v>1.0255864770944236</v>
      </c>
      <c r="D20" s="6">
        <f>[512]Tasas!$B$17</f>
        <v>1.0876322751322751</v>
      </c>
      <c r="E20" s="6">
        <f>[512]Tasas!$B$28</f>
        <v>1.0117363541056816</v>
      </c>
      <c r="F20" s="6">
        <f>[512]Tasas!$B$31</f>
        <v>1.1419795221843003</v>
      </c>
      <c r="G20" s="6">
        <f>[512]Tasas!$B$35</f>
        <v>0.88867964009206946</v>
      </c>
    </row>
    <row r="21" spans="2:7" s="8" customFormat="1" ht="20.100000000000001" customHeight="1" thickBot="1" x14ac:dyDescent="0.25">
      <c r="B21" s="5" t="s">
        <v>51</v>
      </c>
      <c r="C21" s="6">
        <f>[513]Tasas!$B$36</f>
        <v>1.0283267281963986</v>
      </c>
      <c r="D21" s="6">
        <f>[513]Tasas!$B$17</f>
        <v>1.0182205527835397</v>
      </c>
      <c r="E21" s="6">
        <f>[513]Tasas!$B$28</f>
        <v>1.050013306466943</v>
      </c>
      <c r="F21" s="6">
        <f>[513]Tasas!$B$31</f>
        <v>1.0295918367346939</v>
      </c>
      <c r="G21" s="6">
        <f>[513]Tasas!$B$35</f>
        <v>0.77326968973747012</v>
      </c>
    </row>
    <row r="22" spans="2:7" s="8" customFormat="1" ht="15" thickBot="1" x14ac:dyDescent="0.25">
      <c r="B22" s="5" t="s">
        <v>52</v>
      </c>
      <c r="C22" s="6">
        <f>[514]Tasas!$B$36</f>
        <v>0.99858900396191008</v>
      </c>
      <c r="D22" s="6">
        <f>[514]Tasas!$B$17</f>
        <v>0.96487735970206756</v>
      </c>
      <c r="E22" s="6">
        <f>[514]Tasas!$B$28</f>
        <v>1.0187600224115614</v>
      </c>
      <c r="F22" s="6">
        <f>[514]Tasas!$B$31</f>
        <v>1.2699472759226713</v>
      </c>
      <c r="G22" s="6">
        <f>[514]Tasas!$B$35</f>
        <v>0.71394873407768522</v>
      </c>
    </row>
    <row r="23" spans="2:7" s="8" customFormat="1" ht="20.100000000000001" customHeight="1" thickBot="1" x14ac:dyDescent="0.25">
      <c r="B23" s="5" t="s">
        <v>53</v>
      </c>
      <c r="C23" s="6">
        <f>[515]Tasas!$B$36</f>
        <v>0.98409493851873031</v>
      </c>
      <c r="D23" s="6">
        <f>[515]Tasas!$B$17</f>
        <v>0.95970642659625338</v>
      </c>
      <c r="E23" s="6">
        <f>[515]Tasas!$B$28</f>
        <v>0.98325534043009222</v>
      </c>
      <c r="F23" s="6">
        <f>[515]Tasas!$B$31</f>
        <v>1.3120248790601243</v>
      </c>
      <c r="G23" s="6">
        <f>[515]Tasas!$B$35</f>
        <v>1.0108558444837161</v>
      </c>
    </row>
    <row r="24" spans="2:7" s="8" customFormat="1" ht="20.100000000000001" customHeight="1" thickBot="1" x14ac:dyDescent="0.25">
      <c r="B24" s="5" t="s">
        <v>54</v>
      </c>
      <c r="C24" s="6">
        <f>[516]Tasas!$B$36</f>
        <v>1.0170244747247001</v>
      </c>
      <c r="D24" s="6">
        <f>[516]Tasas!$B$17</f>
        <v>1.0686516507250849</v>
      </c>
      <c r="E24" s="6">
        <f>[516]Tasas!$B$28</f>
        <v>1.011183129450429</v>
      </c>
      <c r="F24" s="6">
        <f>[516]Tasas!$B$31</f>
        <v>1.23828125</v>
      </c>
      <c r="G24" s="6">
        <f>[516]Tasas!$B$35</f>
        <v>0.82892416225749554</v>
      </c>
    </row>
    <row r="25" spans="2:7" s="8" customFormat="1" ht="20.100000000000001" customHeight="1" thickBot="1" x14ac:dyDescent="0.25">
      <c r="B25" s="5" t="s">
        <v>55</v>
      </c>
      <c r="C25" s="6">
        <f>[517]Tasas!$B$36</f>
        <v>1.012285050348567</v>
      </c>
      <c r="D25" s="6">
        <f>[517]Tasas!$B$17</f>
        <v>1.0195348837209302</v>
      </c>
      <c r="E25" s="6">
        <f>[517]Tasas!$B$28</f>
        <v>1.0146421986879903</v>
      </c>
      <c r="F25" s="6">
        <f>[517]Tasas!$B$31</f>
        <v>0.93819855358316895</v>
      </c>
      <c r="G25" s="6">
        <f>[517]Tasas!$B$35</f>
        <v>0.93455935037019344</v>
      </c>
    </row>
    <row r="26" spans="2:7" s="8" customFormat="1" ht="20.100000000000001" customHeight="1" thickBot="1" x14ac:dyDescent="0.25">
      <c r="B26" s="5" t="s">
        <v>56</v>
      </c>
      <c r="C26" s="6">
        <f>[518]Tasas!$B$36</f>
        <v>1.0076994487194717</v>
      </c>
      <c r="D26" s="6">
        <f>[518]Tasas!$B$17</f>
        <v>0.98881599651407681</v>
      </c>
      <c r="E26" s="6">
        <f>[518]Tasas!$B$28</f>
        <v>1.0127451662261788</v>
      </c>
      <c r="F26" s="6">
        <f>[518]Tasas!$B$31</f>
        <v>1.5352033660589059</v>
      </c>
      <c r="G26" s="6">
        <f>[518]Tasas!$B$35</f>
        <v>0.80817896548233625</v>
      </c>
    </row>
    <row r="27" spans="2:7" ht="15" thickBot="1" x14ac:dyDescent="0.25">
      <c r="B27" s="5" t="s">
        <v>57</v>
      </c>
      <c r="C27" s="6">
        <f>[519]Tasas!$B$36</f>
        <v>1.1042674253200568</v>
      </c>
      <c r="D27" s="6">
        <f>[519]Tasas!$B$17</f>
        <v>1.1158831282952548</v>
      </c>
      <c r="E27" s="6">
        <f>[519]Tasas!$B$28</f>
        <v>1.1245395485901815</v>
      </c>
      <c r="F27" s="6">
        <f>[519]Tasas!$B$31</f>
        <v>0.90043290043290047</v>
      </c>
      <c r="G27" s="6">
        <f>[519]Tasas!$B$35</f>
        <v>0.87822292740975805</v>
      </c>
    </row>
    <row r="28" spans="2:7" ht="15" thickBot="1" x14ac:dyDescent="0.25">
      <c r="B28" s="5" t="s">
        <v>58</v>
      </c>
      <c r="C28" s="6">
        <f>[520]Tasas!$B$36</f>
        <v>1.0303563839475443</v>
      </c>
      <c r="D28" s="6">
        <f>[520]Tasas!$B$17</f>
        <v>1.0268096514745308</v>
      </c>
      <c r="E28" s="6">
        <f>[520]Tasas!$B$28</f>
        <v>1.0257957905722734</v>
      </c>
      <c r="F28" s="6">
        <f>[520]Tasas!$B$31</f>
        <v>1.27986798679868</v>
      </c>
      <c r="G28" s="6">
        <f>[520]Tasas!$B$35</f>
        <v>1.0197872340425531</v>
      </c>
    </row>
    <row r="29" spans="2:7" ht="15" thickBot="1" x14ac:dyDescent="0.25">
      <c r="B29" s="5" t="s">
        <v>59</v>
      </c>
      <c r="C29" s="6">
        <f>[521]Tasas!$B$36</f>
        <v>0.9770539580896086</v>
      </c>
      <c r="D29" s="6">
        <f>[521]Tasas!$B$17</f>
        <v>0.99871025348479592</v>
      </c>
      <c r="E29" s="6">
        <f>[521]Tasas!$B$28</f>
        <v>0.97524668971915329</v>
      </c>
      <c r="F29" s="6">
        <f>[521]Tasas!$B$31</f>
        <v>1.4344262295081966</v>
      </c>
      <c r="G29" s="6">
        <f>[521]Tasas!$B$35</f>
        <v>0.7315753887762001</v>
      </c>
    </row>
    <row r="30" spans="2:7" ht="15" thickBot="1" x14ac:dyDescent="0.25">
      <c r="B30" s="5" t="s">
        <v>60</v>
      </c>
      <c r="C30" s="6">
        <f>[522]Tasas!$B$36</f>
        <v>1.010548523206751</v>
      </c>
      <c r="D30" s="6">
        <f>[522]Tasas!$B$17</f>
        <v>1.0341817287593753</v>
      </c>
      <c r="E30" s="6">
        <f>[522]Tasas!$B$28</f>
        <v>0.99811218985976269</v>
      </c>
      <c r="F30" s="6">
        <f>[522]Tasas!$B$31</f>
        <v>1.4449339207048457</v>
      </c>
      <c r="G30" s="6">
        <f>[522]Tasas!$B$35</f>
        <v>0.88840736728060676</v>
      </c>
    </row>
    <row r="31" spans="2:7" ht="15" thickBot="1" x14ac:dyDescent="0.25">
      <c r="B31" s="5" t="s">
        <v>61</v>
      </c>
      <c r="C31" s="6">
        <f>[523]Tasas!$B$36</f>
        <v>1.0092402266833158</v>
      </c>
      <c r="D31" s="6">
        <f>[523]Tasas!$B$17</f>
        <v>1.0004681847201533</v>
      </c>
      <c r="E31" s="6">
        <f>[523]Tasas!$B$28</f>
        <v>1.0127169801196576</v>
      </c>
      <c r="F31" s="6">
        <f>[523]Tasas!$B$31</f>
        <v>1.0133231823372668</v>
      </c>
      <c r="G31" s="6">
        <f>[523]Tasas!$B$35</f>
        <v>0.99070307960488091</v>
      </c>
    </row>
    <row r="32" spans="2:7" ht="15" thickBot="1" x14ac:dyDescent="0.25">
      <c r="B32" s="5" t="s">
        <v>62</v>
      </c>
      <c r="C32" s="6">
        <f>[524]Tasas!$B$36</f>
        <v>0.98665535621589451</v>
      </c>
      <c r="D32" s="6">
        <f>[524]Tasas!$B$17</f>
        <v>0.91328135685952672</v>
      </c>
      <c r="E32" s="6">
        <f>[524]Tasas!$B$28</f>
        <v>1.027874844358758</v>
      </c>
      <c r="F32" s="6">
        <f>[524]Tasas!$B$31</f>
        <v>1.6098334655035687</v>
      </c>
      <c r="G32" s="6">
        <f>[524]Tasas!$B$35</f>
        <v>0.78165137614678903</v>
      </c>
    </row>
    <row r="33" spans="2:7" ht="15" thickBot="1" x14ac:dyDescent="0.25">
      <c r="B33" s="5" t="s">
        <v>63</v>
      </c>
      <c r="C33" s="6">
        <f>[525]Tasas!$B$36</f>
        <v>1.0168921716377126</v>
      </c>
      <c r="D33" s="6">
        <f>[525]Tasas!$B$17</f>
        <v>1.0882186970969967</v>
      </c>
      <c r="E33" s="6">
        <f>[525]Tasas!$B$28</f>
        <v>0.99539491041661665</v>
      </c>
      <c r="F33" s="6">
        <f>[525]Tasas!$B$31</f>
        <v>1.1719939117199392</v>
      </c>
      <c r="G33" s="6">
        <f>[525]Tasas!$B$35</f>
        <v>0.85220729366602688</v>
      </c>
    </row>
    <row r="34" spans="2:7" ht="15" thickBot="1" x14ac:dyDescent="0.25">
      <c r="B34" s="5" t="s">
        <v>64</v>
      </c>
      <c r="C34" s="6">
        <f>[526]Tasas!$B$36</f>
        <v>0.99725977819714084</v>
      </c>
      <c r="D34" s="6">
        <f>[526]Tasas!$B$17</f>
        <v>1.0131634107487213</v>
      </c>
      <c r="E34" s="6">
        <f>[526]Tasas!$B$28</f>
        <v>0.97257192299372697</v>
      </c>
      <c r="F34" s="6">
        <f>[526]Tasas!$B$31</f>
        <v>1.7219973009446694</v>
      </c>
      <c r="G34" s="6">
        <f>[526]Tasas!$B$35</f>
        <v>0.94344827586206892</v>
      </c>
    </row>
    <row r="35" spans="2:7" ht="15" thickBot="1" x14ac:dyDescent="0.25">
      <c r="B35" s="5" t="s">
        <v>65</v>
      </c>
      <c r="C35" s="6">
        <f>[527]Tasas!$B$36</f>
        <v>0.93608577442553942</v>
      </c>
      <c r="D35" s="6">
        <f>[527]Tasas!$B$17</f>
        <v>0.95528687938188583</v>
      </c>
      <c r="E35" s="6">
        <f>[527]Tasas!$B$28</f>
        <v>0.92874005738568266</v>
      </c>
      <c r="F35" s="6">
        <f>[527]Tasas!$B$31</f>
        <v>1.0119904076738608</v>
      </c>
      <c r="G35" s="6">
        <f>[527]Tasas!$B$35</f>
        <v>0.89641434262948205</v>
      </c>
    </row>
    <row r="36" spans="2:7" ht="15" thickBot="1" x14ac:dyDescent="0.25">
      <c r="B36" s="5" t="s">
        <v>32</v>
      </c>
      <c r="C36" s="6">
        <f>[528]Tasas!$B$36</f>
        <v>1.0248568299865339</v>
      </c>
      <c r="D36" s="6">
        <f>[528]Tasas!$B$17</f>
        <v>1.0471640891096572</v>
      </c>
      <c r="E36" s="6">
        <f>[528]Tasas!$B$28</f>
        <v>1.0232392402945962</v>
      </c>
      <c r="F36" s="6">
        <f>[528]Tasas!$B$31</f>
        <v>1.2777485107590063</v>
      </c>
      <c r="G36" s="6">
        <f>[528]Tasas!$B$35</f>
        <v>0.84913841922174582</v>
      </c>
    </row>
    <row r="37" spans="2:7" ht="15" thickBot="1" x14ac:dyDescent="0.25">
      <c r="B37" s="5" t="s">
        <v>66</v>
      </c>
      <c r="C37" s="6">
        <f>[529]Tasas!$B$36</f>
        <v>1.010817893053706</v>
      </c>
      <c r="D37" s="6">
        <f>[529]Tasas!$B$17</f>
        <v>1.0356518825247134</v>
      </c>
      <c r="E37" s="6">
        <f>[529]Tasas!$B$28</f>
        <v>1.0092433782326684</v>
      </c>
      <c r="F37" s="6">
        <f>[529]Tasas!$B$31</f>
        <v>1.4023715415019762</v>
      </c>
      <c r="G37" s="6">
        <f>[529]Tasas!$B$35</f>
        <v>0.76429498670952589</v>
      </c>
    </row>
    <row r="38" spans="2:7" ht="15" thickBot="1" x14ac:dyDescent="0.25">
      <c r="B38" s="5" t="s">
        <v>33</v>
      </c>
      <c r="C38" s="6">
        <f>[530]Tasas!$B$36</f>
        <v>1.01969758455811</v>
      </c>
      <c r="D38" s="6">
        <f>[530]Tasas!$B$17</f>
        <v>1.0283367257923814</v>
      </c>
      <c r="E38" s="6">
        <f>[530]Tasas!$B$28</f>
        <v>1.0172970773026735</v>
      </c>
      <c r="F38" s="6">
        <f>[530]Tasas!$B$31</f>
        <v>1.2313569174555721</v>
      </c>
      <c r="G38" s="6">
        <f>[530]Tasas!$B$35</f>
        <v>0.90348614693402118</v>
      </c>
    </row>
    <row r="39" spans="2:7" ht="15" thickBot="1" x14ac:dyDescent="0.25">
      <c r="B39" s="5" t="s">
        <v>34</v>
      </c>
      <c r="C39" s="6">
        <f>[531]Tasas!$B$36</f>
        <v>1.0169338476288154</v>
      </c>
      <c r="D39" s="6">
        <f>[531]Tasas!$B$17</f>
        <v>0.96999533606260036</v>
      </c>
      <c r="E39" s="6">
        <f>[531]Tasas!$B$28</f>
        <v>1.0295842300614453</v>
      </c>
      <c r="F39" s="6">
        <f>[531]Tasas!$B$31</f>
        <v>1.718936877076412</v>
      </c>
      <c r="G39" s="6">
        <f>[531]Tasas!$B$35</f>
        <v>0.8156132272917539</v>
      </c>
    </row>
    <row r="40" spans="2:7" ht="15" thickBot="1" x14ac:dyDescent="0.25">
      <c r="B40" s="5" t="s">
        <v>67</v>
      </c>
      <c r="C40" s="6">
        <f>[532]Tasas!$B$36</f>
        <v>1.0119016191481873</v>
      </c>
      <c r="D40" s="6">
        <f>[532]Tasas!$B$17</f>
        <v>0.97651339728746278</v>
      </c>
      <c r="E40" s="6">
        <f>[532]Tasas!$B$28</f>
        <v>1.0163037905458523</v>
      </c>
      <c r="F40" s="6">
        <f>[532]Tasas!$B$31</f>
        <v>1.3071718538565629</v>
      </c>
      <c r="G40" s="6">
        <f>[532]Tasas!$B$35</f>
        <v>1.0359263657957245</v>
      </c>
    </row>
    <row r="41" spans="2:7" ht="15" thickBot="1" x14ac:dyDescent="0.25">
      <c r="B41" s="5" t="s">
        <v>31</v>
      </c>
      <c r="C41" s="6">
        <f>[533]Tasas!$B$36</f>
        <v>0.99877071518862559</v>
      </c>
      <c r="D41" s="6">
        <f>[533]Tasas!$B$17</f>
        <v>0.98857494833889681</v>
      </c>
      <c r="E41" s="6">
        <f>[533]Tasas!$B$28</f>
        <v>1.0086486689304541</v>
      </c>
      <c r="F41" s="6">
        <f>[533]Tasas!$B$31</f>
        <v>1.2740014015416958</v>
      </c>
      <c r="G41" s="6">
        <f>[533]Tasas!$B$35</f>
        <v>0.89415943172849255</v>
      </c>
    </row>
    <row r="42" spans="2:7" ht="15" thickBot="1" x14ac:dyDescent="0.25">
      <c r="B42" s="5" t="s">
        <v>68</v>
      </c>
      <c r="C42" s="6">
        <f>[534]Tasas!$B$36</f>
        <v>1.0358178654292343</v>
      </c>
      <c r="D42" s="6">
        <f>[534]Tasas!$B$17</f>
        <v>1.0111572021170077</v>
      </c>
      <c r="E42" s="6">
        <f>[534]Tasas!$B$28</f>
        <v>1.0409663297843592</v>
      </c>
      <c r="F42" s="6">
        <f>[534]Tasas!$B$31</f>
        <v>1.2204408817635271</v>
      </c>
      <c r="G42" s="6">
        <f>[534]Tasas!$B$35</f>
        <v>1.0263984915147706</v>
      </c>
    </row>
    <row r="43" spans="2:7" ht="15" thickBot="1" x14ac:dyDescent="0.25">
      <c r="B43" s="5" t="s">
        <v>69</v>
      </c>
      <c r="C43" s="6">
        <f>[535]Tasas!$B$36</f>
        <v>1.0251789444245374</v>
      </c>
      <c r="D43" s="6">
        <f>[535]Tasas!$B$17</f>
        <v>1.0830826026765112</v>
      </c>
      <c r="E43" s="6">
        <f>[535]Tasas!$B$28</f>
        <v>1.0067075907674217</v>
      </c>
      <c r="F43" s="6">
        <f>[535]Tasas!$B$31</f>
        <v>1.1189986282578874</v>
      </c>
      <c r="G43" s="6">
        <f>[535]Tasas!$B$35</f>
        <v>0.98916887709991164</v>
      </c>
    </row>
    <row r="44" spans="2:7" ht="15" thickBot="1" x14ac:dyDescent="0.25">
      <c r="B44" s="5" t="s">
        <v>70</v>
      </c>
      <c r="C44" s="6">
        <f>[536]Tasas!$B$36</f>
        <v>0.98966045442941031</v>
      </c>
      <c r="D44" s="6">
        <f>[536]Tasas!$B$17</f>
        <v>0.9704171617987366</v>
      </c>
      <c r="E44" s="6">
        <f>[536]Tasas!$B$28</f>
        <v>1.0016429353778751</v>
      </c>
      <c r="F44" s="6">
        <f>[536]Tasas!$B$31</f>
        <v>1.0649237472766884</v>
      </c>
      <c r="G44" s="6">
        <f>[536]Tasas!$B$35</f>
        <v>0.91101268371250255</v>
      </c>
    </row>
    <row r="45" spans="2:7" ht="15" thickBot="1" x14ac:dyDescent="0.25">
      <c r="B45" s="5" t="s">
        <v>71</v>
      </c>
      <c r="C45" s="6">
        <f>[537]Tasas!$B$36</f>
        <v>0.99734768111548955</v>
      </c>
      <c r="D45" s="6">
        <f>[537]Tasas!$B$17</f>
        <v>0.99866131191432395</v>
      </c>
      <c r="E45" s="6">
        <f>[537]Tasas!$B$28</f>
        <v>1.0121798615166431</v>
      </c>
      <c r="F45" s="6">
        <f>[537]Tasas!$B$31</f>
        <v>1.1596916299559472</v>
      </c>
      <c r="G45" s="6">
        <f>[537]Tasas!$B$35</f>
        <v>0.71445929526123941</v>
      </c>
    </row>
    <row r="46" spans="2:7" ht="15" thickBot="1" x14ac:dyDescent="0.25">
      <c r="B46" s="5" t="s">
        <v>72</v>
      </c>
      <c r="C46" s="6">
        <f>[538]Tasas!$B$36</f>
        <v>1.0175538027173037</v>
      </c>
      <c r="D46" s="6">
        <f>[538]Tasas!$B$17</f>
        <v>1.0348395366936776</v>
      </c>
      <c r="E46" s="6">
        <f>[538]Tasas!$B$28</f>
        <v>1.0147786096411116</v>
      </c>
      <c r="F46" s="6">
        <f>[538]Tasas!$B$31</f>
        <v>1.3363463368220743</v>
      </c>
      <c r="G46" s="6">
        <f>[538]Tasas!$B$35</f>
        <v>0.88783649052841473</v>
      </c>
    </row>
    <row r="47" spans="2:7" ht="15" thickBot="1" x14ac:dyDescent="0.25">
      <c r="B47" s="5" t="s">
        <v>5</v>
      </c>
      <c r="C47" s="6">
        <f>[539]Tasas!$B$36</f>
        <v>1.0352527690996876</v>
      </c>
      <c r="D47" s="6">
        <f>[539]Tasas!$B$17</f>
        <v>1.0271053309296936</v>
      </c>
      <c r="E47" s="6">
        <f>[539]Tasas!$B$28</f>
        <v>1.028737091020828</v>
      </c>
      <c r="F47" s="6">
        <f>[539]Tasas!$B$31</f>
        <v>1.5862304021813225</v>
      </c>
      <c r="G47" s="6">
        <f>[539]Tasas!$B$35</f>
        <v>1.0224952741020794</v>
      </c>
    </row>
    <row r="48" spans="2:7" ht="15" thickBot="1" x14ac:dyDescent="0.25">
      <c r="B48" s="5" t="s">
        <v>73</v>
      </c>
      <c r="C48" s="6">
        <f>[540]Tasas!$B$36</f>
        <v>0.98983863933711291</v>
      </c>
      <c r="D48" s="6">
        <f>[540]Tasas!$B$17</f>
        <v>1.0413586765223513</v>
      </c>
      <c r="E48" s="6">
        <f>[540]Tasas!$B$28</f>
        <v>0.96597996597996594</v>
      </c>
      <c r="F48" s="6">
        <f>[540]Tasas!$B$31</f>
        <v>1.2661870503597121</v>
      </c>
      <c r="G48" s="6">
        <f>[540]Tasas!$B$35</f>
        <v>0.95929018789144049</v>
      </c>
    </row>
    <row r="49" spans="2:7" ht="15" thickBot="1" x14ac:dyDescent="0.25">
      <c r="B49" s="5" t="s">
        <v>74</v>
      </c>
      <c r="C49" s="6">
        <f>[541]Tasas!$B$36</f>
        <v>1.0127894114686935</v>
      </c>
      <c r="D49" s="6">
        <f>[541]Tasas!$B$17</f>
        <v>0.99531387044230046</v>
      </c>
      <c r="E49" s="6">
        <f>[541]Tasas!$B$28</f>
        <v>1.0175698367142483</v>
      </c>
      <c r="F49" s="6">
        <f>[541]Tasas!$B$31</f>
        <v>1.4117187499999999</v>
      </c>
      <c r="G49" s="6">
        <f>[541]Tasas!$B$35</f>
        <v>0.81822067533736342</v>
      </c>
    </row>
    <row r="50" spans="2:7" ht="15" thickBot="1" x14ac:dyDescent="0.25">
      <c r="B50" s="5" t="s">
        <v>75</v>
      </c>
      <c r="C50" s="6">
        <f>[542]Tasas!$B$36</f>
        <v>0.97408707340751255</v>
      </c>
      <c r="D50" s="6">
        <f>[542]Tasas!$B$17</f>
        <v>0.92554703040636543</v>
      </c>
      <c r="E50" s="6">
        <f>[542]Tasas!$B$28</f>
        <v>0.99636363636363634</v>
      </c>
      <c r="F50" s="6">
        <f>[542]Tasas!$B$31</f>
        <v>0.88224637681159424</v>
      </c>
      <c r="G50" s="6">
        <f>[542]Tasas!$B$35</f>
        <v>1.023076923076923</v>
      </c>
    </row>
    <row r="51" spans="2:7" ht="15" thickBot="1" x14ac:dyDescent="0.25">
      <c r="B51" s="5" t="s">
        <v>76</v>
      </c>
      <c r="C51" s="6">
        <f>[543]Tasas!$B$36</f>
        <v>1.0256923610561739</v>
      </c>
      <c r="D51" s="6">
        <f>[543]Tasas!$B$17</f>
        <v>1.0088126159554731</v>
      </c>
      <c r="E51" s="6">
        <f>[543]Tasas!$B$28</f>
        <v>1.0288710662244005</v>
      </c>
      <c r="F51" s="6">
        <f>[543]Tasas!$B$31</f>
        <v>0.99718706047819972</v>
      </c>
      <c r="G51" s="6">
        <f>[543]Tasas!$B$35</f>
        <v>1.0798261213198972</v>
      </c>
    </row>
    <row r="52" spans="2:7" ht="15" thickBot="1" x14ac:dyDescent="0.25">
      <c r="B52" s="5" t="s">
        <v>77</v>
      </c>
      <c r="C52" s="6">
        <f>[544]Tasas!$B$36</f>
        <v>1.0350534075522793</v>
      </c>
      <c r="D52" s="6">
        <f>[544]Tasas!$B$17</f>
        <v>1.1000932545850171</v>
      </c>
      <c r="E52" s="6">
        <f>[544]Tasas!$B$28</f>
        <v>1.0159834728715886</v>
      </c>
      <c r="F52" s="6">
        <f>[544]Tasas!$B$31</f>
        <v>1.0402930402930404</v>
      </c>
      <c r="G52" s="6">
        <f>[544]Tasas!$B$35</f>
        <v>0.97693574958813834</v>
      </c>
    </row>
    <row r="53" spans="2:7" ht="15" thickBot="1" x14ac:dyDescent="0.25">
      <c r="B53" s="5" t="s">
        <v>78</v>
      </c>
      <c r="C53" s="6">
        <f>[545]Tasas!$B$36</f>
        <v>0.96473648890890873</v>
      </c>
      <c r="D53" s="6">
        <f>[545]Tasas!$B$17</f>
        <v>0.98584371460928655</v>
      </c>
      <c r="E53" s="6">
        <f>[545]Tasas!$B$28</f>
        <v>0.97719043247654014</v>
      </c>
      <c r="F53" s="6">
        <f>[545]Tasas!$B$31</f>
        <v>1.1780038143674507</v>
      </c>
      <c r="G53" s="6">
        <f>[545]Tasas!$B$35</f>
        <v>0.65589549673427294</v>
      </c>
    </row>
    <row r="54" spans="2:7" ht="15" thickBot="1" x14ac:dyDescent="0.25">
      <c r="B54" s="5" t="s">
        <v>79</v>
      </c>
      <c r="C54" s="6">
        <f>[546]Tasas!$B$36</f>
        <v>0.98094956833328406</v>
      </c>
      <c r="D54" s="6">
        <f>[546]Tasas!$B$17</f>
        <v>0.98593592383556616</v>
      </c>
      <c r="E54" s="6">
        <f>[546]Tasas!$B$28</f>
        <v>0.99172274845046382</v>
      </c>
      <c r="F54" s="6">
        <f>[546]Tasas!$B$31</f>
        <v>1.1213811821471653</v>
      </c>
      <c r="G54" s="6">
        <f>[546]Tasas!$B$35</f>
        <v>0.75649851879667873</v>
      </c>
    </row>
    <row r="55" spans="2:7" ht="15" thickBot="1" x14ac:dyDescent="0.25">
      <c r="B55" s="5" t="s">
        <v>80</v>
      </c>
      <c r="C55" s="6">
        <f>[547]Tasas!$B$36</f>
        <v>1.0400252164811115</v>
      </c>
      <c r="D55" s="6">
        <f>[547]Tasas!$B$17</f>
        <v>1.0241462877285745</v>
      </c>
      <c r="E55" s="6">
        <f>[547]Tasas!$B$28</f>
        <v>1.0289362634953692</v>
      </c>
      <c r="F55" s="6">
        <f>[547]Tasas!$B$31</f>
        <v>1.6691588785046729</v>
      </c>
      <c r="G55" s="6">
        <f>[547]Tasas!$B$35</f>
        <v>1.0316040548598688</v>
      </c>
    </row>
    <row r="56" spans="2:7" ht="15" thickBot="1" x14ac:dyDescent="0.25">
      <c r="B56" s="5" t="s">
        <v>81</v>
      </c>
      <c r="C56" s="6">
        <f>[548]Tasas!$B$36</f>
        <v>1.0073234311081287</v>
      </c>
      <c r="D56" s="6">
        <f>[548]Tasas!$B$17</f>
        <v>0.96991499385497748</v>
      </c>
      <c r="E56" s="6">
        <f>[548]Tasas!$B$28</f>
        <v>1.0221580334987592</v>
      </c>
      <c r="F56" s="6">
        <f>[548]Tasas!$B$31</f>
        <v>1.509930486593843</v>
      </c>
      <c r="G56" s="6">
        <f>[548]Tasas!$B$35</f>
        <v>0.90664556962025311</v>
      </c>
    </row>
    <row r="57" spans="2:7" ht="15" thickBot="1" x14ac:dyDescent="0.25">
      <c r="B57" s="5" t="s">
        <v>82</v>
      </c>
      <c r="C57" s="6">
        <f>[549]Tasas!$B$36</f>
        <v>1.0089519565302374</v>
      </c>
      <c r="D57" s="6">
        <f>[549]Tasas!$B$17</f>
        <v>1.0023947034793632</v>
      </c>
      <c r="E57" s="6">
        <f>[549]Tasas!$B$28</f>
        <v>1.0077844311377246</v>
      </c>
      <c r="F57" s="6">
        <f>[549]Tasas!$B$31</f>
        <v>1.2376470588235293</v>
      </c>
      <c r="G57" s="6">
        <f>[549]Tasas!$B$35</f>
        <v>0.98599852616064854</v>
      </c>
    </row>
    <row r="58" spans="2:7" ht="15" thickBot="1" x14ac:dyDescent="0.25">
      <c r="B58" s="5" t="s">
        <v>83</v>
      </c>
      <c r="C58" s="6">
        <f>[550]Tasas!$B$36</f>
        <v>1.0111362642954536</v>
      </c>
      <c r="D58" s="6">
        <f>[550]Tasas!$B$17</f>
        <v>1.0328958162428219</v>
      </c>
      <c r="E58" s="6">
        <f>[550]Tasas!$B$28</f>
        <v>1.0098403180481019</v>
      </c>
      <c r="F58" s="6">
        <f>[550]Tasas!$B$31</f>
        <v>1.2611228813559323</v>
      </c>
      <c r="G58" s="6">
        <f>[550]Tasas!$B$35</f>
        <v>0.87704723474958457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1AB48-AF8C-483C-BDCC-1B4B4E884BAF}">
  <dimension ref="B7:G58"/>
  <sheetViews>
    <sheetView workbookViewId="0">
      <selection activeCell="A2" sqref="A2"/>
    </sheetView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f>[551]Tasas!$B$36</f>
        <v>1.0185701410576178</v>
      </c>
      <c r="D9" s="6">
        <f>[551]Tasas!$B$17</f>
        <v>1.0416042309387394</v>
      </c>
      <c r="E9" s="6">
        <f>[551]Tasas!$B$28</f>
        <v>1.0066279252395163</v>
      </c>
      <c r="F9" s="6">
        <f>[551]Tasas!$B$31</f>
        <v>0.96121883656509699</v>
      </c>
      <c r="G9" s="6">
        <f>[551]Tasas!$B$35</f>
        <v>1.0839002267573696</v>
      </c>
    </row>
    <row r="10" spans="2:7" s="8" customFormat="1" ht="20.100000000000001" customHeight="1" thickBot="1" x14ac:dyDescent="0.25">
      <c r="B10" s="5" t="s">
        <v>40</v>
      </c>
      <c r="C10" s="6">
        <f>[552]Tasas!$B$36</f>
        <v>0.98521224468290625</v>
      </c>
      <c r="D10" s="6">
        <f>[552]Tasas!$B$17</f>
        <v>1.0137351373513734</v>
      </c>
      <c r="E10" s="6">
        <f>[552]Tasas!$B$28</f>
        <v>0.97281358263031237</v>
      </c>
      <c r="F10" s="6">
        <f>[552]Tasas!$B$31</f>
        <v>0.89607558139534882</v>
      </c>
      <c r="G10" s="6">
        <f>[552]Tasas!$B$35</f>
        <v>1.0410783055198973</v>
      </c>
    </row>
    <row r="11" spans="2:7" s="8" customFormat="1" ht="20.100000000000001" customHeight="1" thickBot="1" x14ac:dyDescent="0.25">
      <c r="B11" s="5" t="s">
        <v>41</v>
      </c>
      <c r="C11" s="6">
        <f>[553]Tasas!$B$36</f>
        <v>1.0300194290918987</v>
      </c>
      <c r="D11" s="6">
        <f>[553]Tasas!$B$17</f>
        <v>1.1103634418766637</v>
      </c>
      <c r="E11" s="6">
        <f>[553]Tasas!$B$28</f>
        <v>1.0141811594732191</v>
      </c>
      <c r="F11" s="6">
        <f>[553]Tasas!$B$31</f>
        <v>1.052429925388183</v>
      </c>
      <c r="G11" s="6">
        <f>[553]Tasas!$B$35</f>
        <v>0.84264385170273448</v>
      </c>
    </row>
    <row r="12" spans="2:7" s="8" customFormat="1" ht="20.100000000000001" customHeight="1" thickBot="1" x14ac:dyDescent="0.25">
      <c r="B12" s="5" t="s">
        <v>42</v>
      </c>
      <c r="C12" s="6">
        <f>[554]Tasas!$B$36</f>
        <v>0.98126799214399096</v>
      </c>
      <c r="D12" s="6">
        <f>[554]Tasas!$B$17</f>
        <v>0.94506808980493195</v>
      </c>
      <c r="E12" s="6">
        <f>[554]Tasas!$B$28</f>
        <v>1.0078225881912604</v>
      </c>
      <c r="F12" s="6">
        <f>[554]Tasas!$B$31</f>
        <v>0.92297035189803267</v>
      </c>
      <c r="G12" s="6">
        <f>[554]Tasas!$B$35</f>
        <v>0.72251028070802792</v>
      </c>
    </row>
    <row r="13" spans="2:7" s="8" customFormat="1" ht="20.100000000000001" customHeight="1" thickBot="1" x14ac:dyDescent="0.25">
      <c r="B13" s="5" t="s">
        <v>43</v>
      </c>
      <c r="C13" s="6">
        <f>[555]Tasas!$B$36</f>
        <v>0.97997424625904717</v>
      </c>
      <c r="D13" s="6">
        <f>[555]Tasas!$B$17</f>
        <v>1.0379190327898882</v>
      </c>
      <c r="E13" s="6">
        <f>[555]Tasas!$B$28</f>
        <v>0.94986416399110896</v>
      </c>
      <c r="F13" s="6">
        <f>[555]Tasas!$B$31</f>
        <v>1.4599406528189911</v>
      </c>
      <c r="G13" s="6">
        <f>[555]Tasas!$B$35</f>
        <v>0.99810964083175802</v>
      </c>
    </row>
    <row r="14" spans="2:7" s="8" customFormat="1" ht="20.100000000000001" customHeight="1" thickBot="1" x14ac:dyDescent="0.25">
      <c r="B14" s="5" t="s">
        <v>44</v>
      </c>
      <c r="C14" s="6">
        <f>[556]Tasas!$B$36</f>
        <v>0.99490958595992773</v>
      </c>
      <c r="D14" s="6">
        <f>[556]Tasas!$B$17</f>
        <v>1.0137105649303009</v>
      </c>
      <c r="E14" s="6">
        <f>[556]Tasas!$B$28</f>
        <v>0.99093720586257905</v>
      </c>
      <c r="F14" s="6">
        <f>[556]Tasas!$B$31</f>
        <v>1.1037735849056605</v>
      </c>
      <c r="G14" s="6">
        <f>[556]Tasas!$B$35</f>
        <v>0.88976377952755903</v>
      </c>
    </row>
    <row r="15" spans="2:7" s="8" customFormat="1" ht="20.100000000000001" customHeight="1" thickBot="1" x14ac:dyDescent="0.25">
      <c r="B15" s="5" t="s">
        <v>45</v>
      </c>
      <c r="C15" s="6">
        <f>[557]Tasas!$B$36</f>
        <v>1.0132725317910503</v>
      </c>
      <c r="D15" s="6">
        <f>[557]Tasas!$B$17</f>
        <v>1.08701504354711</v>
      </c>
      <c r="E15" s="6">
        <f>[557]Tasas!$B$28</f>
        <v>1.0059012875536482</v>
      </c>
      <c r="F15" s="6">
        <f>[557]Tasas!$B$31</f>
        <v>0.80372492836676213</v>
      </c>
      <c r="G15" s="6">
        <f>[557]Tasas!$B$35</f>
        <v>0.75554123711340204</v>
      </c>
    </row>
    <row r="16" spans="2:7" s="8" customFormat="1" ht="20.100000000000001" customHeight="1" thickBot="1" x14ac:dyDescent="0.25">
      <c r="B16" s="5" t="s">
        <v>46</v>
      </c>
      <c r="C16" s="6">
        <f>[558]Tasas!$B$36</f>
        <v>1.0286795775538811</v>
      </c>
      <c r="D16" s="6">
        <f>[558]Tasas!$B$17</f>
        <v>1.0880977583642624</v>
      </c>
      <c r="E16" s="6">
        <f>[558]Tasas!$B$28</f>
        <v>1.0182500375631842</v>
      </c>
      <c r="F16" s="6">
        <f>[558]Tasas!$B$31</f>
        <v>1.0062971175166298</v>
      </c>
      <c r="G16" s="6">
        <f>[558]Tasas!$B$35</f>
        <v>0.90857118747758581</v>
      </c>
    </row>
    <row r="17" spans="2:7" s="8" customFormat="1" ht="20.100000000000001" customHeight="1" thickBot="1" x14ac:dyDescent="0.25">
      <c r="B17" s="5" t="s">
        <v>47</v>
      </c>
      <c r="C17" s="6">
        <f>[559]Tasas!$B$36</f>
        <v>0.9808466664291059</v>
      </c>
      <c r="D17" s="6">
        <f>[559]Tasas!$B$17</f>
        <v>0.96289437585733884</v>
      </c>
      <c r="E17" s="6">
        <f>[559]Tasas!$B$28</f>
        <v>0.98546496065099842</v>
      </c>
      <c r="F17" s="6">
        <f>[559]Tasas!$B$31</f>
        <v>0.92890262751159192</v>
      </c>
      <c r="G17" s="6">
        <f>[559]Tasas!$B$35</f>
        <v>1.0348997926744989</v>
      </c>
    </row>
    <row r="18" spans="2:7" s="8" customFormat="1" ht="20.100000000000001" customHeight="1" thickBot="1" x14ac:dyDescent="0.25">
      <c r="B18" s="5" t="s">
        <v>48</v>
      </c>
      <c r="C18" s="6">
        <f>[560]Tasas!$B$36</f>
        <v>0.98184380361081613</v>
      </c>
      <c r="D18" s="6">
        <f>[560]Tasas!$B$17</f>
        <v>0.99556159420289858</v>
      </c>
      <c r="E18" s="6">
        <f>[560]Tasas!$B$28</f>
        <v>0.97552161269375193</v>
      </c>
      <c r="F18" s="6">
        <f>[560]Tasas!$B$31</f>
        <v>1.268983268983269</v>
      </c>
      <c r="G18" s="6">
        <f>[560]Tasas!$B$35</f>
        <v>0.89467592592592593</v>
      </c>
    </row>
    <row r="19" spans="2:7" s="8" customFormat="1" ht="20.100000000000001" customHeight="1" thickBot="1" x14ac:dyDescent="0.25">
      <c r="B19" s="5" t="s">
        <v>49</v>
      </c>
      <c r="C19" s="6">
        <f>[561]Tasas!$B$36</f>
        <v>0.99057356485403836</v>
      </c>
      <c r="D19" s="6">
        <f>[561]Tasas!$B$17</f>
        <v>1.0119585214918883</v>
      </c>
      <c r="E19" s="6">
        <f>[561]Tasas!$B$28</f>
        <v>0.99611256326122022</v>
      </c>
      <c r="F19" s="6">
        <f>[561]Tasas!$B$31</f>
        <v>0.95508939884555821</v>
      </c>
      <c r="G19" s="6">
        <f>[561]Tasas!$B$35</f>
        <v>0.78026425425544577</v>
      </c>
    </row>
    <row r="20" spans="2:7" s="8" customFormat="1" ht="20.100000000000001" customHeight="1" thickBot="1" x14ac:dyDescent="0.25">
      <c r="B20" s="5" t="s">
        <v>50</v>
      </c>
      <c r="C20" s="6">
        <f>[562]Tasas!$B$36</f>
        <v>1.0100649498115093</v>
      </c>
      <c r="D20" s="6">
        <f>[562]Tasas!$B$17</f>
        <v>1.0815605716141605</v>
      </c>
      <c r="E20" s="6">
        <f>[562]Tasas!$B$28</f>
        <v>0.99166645526269059</v>
      </c>
      <c r="F20" s="6">
        <f>[562]Tasas!$B$31</f>
        <v>1.2706766917293233</v>
      </c>
      <c r="G20" s="6">
        <f>[562]Tasas!$B$35</f>
        <v>0.85427752762996312</v>
      </c>
    </row>
    <row r="21" spans="2:7" s="8" customFormat="1" ht="20.100000000000001" customHeight="1" thickBot="1" x14ac:dyDescent="0.25">
      <c r="B21" s="5" t="s">
        <v>51</v>
      </c>
      <c r="C21" s="6">
        <f>[563]Tasas!$B$36</f>
        <v>0.97141561386459341</v>
      </c>
      <c r="D21" s="6">
        <f>[563]Tasas!$B$17</f>
        <v>0.99017288444040041</v>
      </c>
      <c r="E21" s="6">
        <f>[563]Tasas!$B$28</f>
        <v>0.98402194964493217</v>
      </c>
      <c r="F21" s="6">
        <f>[563]Tasas!$B$31</f>
        <v>0.82151589242053791</v>
      </c>
      <c r="G21" s="6">
        <f>[563]Tasas!$B$35</f>
        <v>0.74749932414165987</v>
      </c>
    </row>
    <row r="22" spans="2:7" s="8" customFormat="1" ht="15" thickBot="1" x14ac:dyDescent="0.25">
      <c r="B22" s="5" t="s">
        <v>52</v>
      </c>
      <c r="C22" s="6">
        <f>[564]Tasas!$B$36</f>
        <v>1.0008565069959772</v>
      </c>
      <c r="D22" s="6">
        <f>[564]Tasas!$B$17</f>
        <v>0.99562461241645417</v>
      </c>
      <c r="E22" s="6">
        <f>[564]Tasas!$B$28</f>
        <v>1.0178411530795968</v>
      </c>
      <c r="F22" s="6">
        <f>[564]Tasas!$B$31</f>
        <v>1.0197651102835863</v>
      </c>
      <c r="G22" s="6">
        <f>[564]Tasas!$B$35</f>
        <v>0.72397294175878568</v>
      </c>
    </row>
    <row r="23" spans="2:7" s="8" customFormat="1" ht="20.100000000000001" customHeight="1" thickBot="1" x14ac:dyDescent="0.25">
      <c r="B23" s="5" t="s">
        <v>53</v>
      </c>
      <c r="C23" s="6">
        <f>[565]Tasas!$B$36</f>
        <v>1.0027075812274369</v>
      </c>
      <c r="D23" s="6">
        <f>[565]Tasas!$B$17</f>
        <v>1.0735440856313498</v>
      </c>
      <c r="E23" s="6">
        <f>[565]Tasas!$B$28</f>
        <v>0.99030161741290124</v>
      </c>
      <c r="F23" s="6">
        <f>[565]Tasas!$B$31</f>
        <v>1.0087565674255692</v>
      </c>
      <c r="G23" s="6">
        <f>[565]Tasas!$B$35</f>
        <v>0.86733784746970777</v>
      </c>
    </row>
    <row r="24" spans="2:7" s="8" customFormat="1" ht="20.100000000000001" customHeight="1" thickBot="1" x14ac:dyDescent="0.25">
      <c r="B24" s="5" t="s">
        <v>54</v>
      </c>
      <c r="C24" s="6">
        <f>[566]Tasas!$B$36</f>
        <v>1.0032623234267446</v>
      </c>
      <c r="D24" s="6">
        <f>[566]Tasas!$B$17</f>
        <v>0.89764476713299102</v>
      </c>
      <c r="E24" s="6">
        <f>[566]Tasas!$B$28</f>
        <v>1.0396018083811511</v>
      </c>
      <c r="F24" s="6">
        <f>[566]Tasas!$B$31</f>
        <v>1.004594180704441</v>
      </c>
      <c r="G24" s="6">
        <f>[566]Tasas!$B$35</f>
        <v>0.82505559673832474</v>
      </c>
    </row>
    <row r="25" spans="2:7" s="8" customFormat="1" ht="20.100000000000001" customHeight="1" thickBot="1" x14ac:dyDescent="0.25">
      <c r="B25" s="5" t="s">
        <v>55</v>
      </c>
      <c r="C25" s="6">
        <f>[567]Tasas!$B$36</f>
        <v>1.0184149553588275</v>
      </c>
      <c r="D25" s="6">
        <f>[567]Tasas!$B$17</f>
        <v>1.0929383396486394</v>
      </c>
      <c r="E25" s="6">
        <f>[567]Tasas!$B$28</f>
        <v>1.001158819849661</v>
      </c>
      <c r="F25" s="6">
        <f>[567]Tasas!$B$31</f>
        <v>1.0508905852417303</v>
      </c>
      <c r="G25" s="6">
        <f>[567]Tasas!$B$35</f>
        <v>0.89717282261741904</v>
      </c>
    </row>
    <row r="26" spans="2:7" s="8" customFormat="1" ht="20.100000000000001" customHeight="1" thickBot="1" x14ac:dyDescent="0.25">
      <c r="B26" s="5" t="s">
        <v>56</v>
      </c>
      <c r="C26" s="6">
        <f>[568]Tasas!$B$36</f>
        <v>1.0253214708640204</v>
      </c>
      <c r="D26" s="6">
        <f>[568]Tasas!$B$17</f>
        <v>1.0905635004784193</v>
      </c>
      <c r="E26" s="6">
        <f>[568]Tasas!$B$28</f>
        <v>1.0102124884144039</v>
      </c>
      <c r="F26" s="6">
        <f>[568]Tasas!$B$31</f>
        <v>1.3645443196004994</v>
      </c>
      <c r="G26" s="6">
        <f>[568]Tasas!$B$35</f>
        <v>0.8553607552258935</v>
      </c>
    </row>
    <row r="27" spans="2:7" ht="15" thickBot="1" x14ac:dyDescent="0.25">
      <c r="B27" s="5" t="s">
        <v>57</v>
      </c>
      <c r="C27" s="6">
        <f>[569]Tasas!$B$36</f>
        <v>0.94086386515275666</v>
      </c>
      <c r="D27" s="6">
        <f>[569]Tasas!$B$17</f>
        <v>1.0753856180751684</v>
      </c>
      <c r="E27" s="6">
        <f>[569]Tasas!$B$28</f>
        <v>0.8998467381888452</v>
      </c>
      <c r="F27" s="6">
        <f>[569]Tasas!$B$31</f>
        <v>0.62286158631415245</v>
      </c>
      <c r="G27" s="6">
        <f>[569]Tasas!$B$35</f>
        <v>1.1226799456767769</v>
      </c>
    </row>
    <row r="28" spans="2:7" ht="15" thickBot="1" x14ac:dyDescent="0.25">
      <c r="B28" s="5" t="s">
        <v>58</v>
      </c>
      <c r="C28" s="6">
        <f>[570]Tasas!$B$36</f>
        <v>1.027728349379559</v>
      </c>
      <c r="D28" s="6">
        <f>[570]Tasas!$B$17</f>
        <v>1.0423780179816142</v>
      </c>
      <c r="E28" s="6">
        <f>[570]Tasas!$B$28</f>
        <v>1.0235480680694335</v>
      </c>
      <c r="F28" s="6">
        <f>[570]Tasas!$B$31</f>
        <v>1.0875955320399764</v>
      </c>
      <c r="G28" s="6">
        <f>[570]Tasas!$B$35</f>
        <v>0.99660585490029696</v>
      </c>
    </row>
    <row r="29" spans="2:7" ht="15" thickBot="1" x14ac:dyDescent="0.25">
      <c r="B29" s="5" t="s">
        <v>59</v>
      </c>
      <c r="C29" s="6">
        <f>[571]Tasas!$B$36</f>
        <v>0.94889660788093055</v>
      </c>
      <c r="D29" s="6">
        <f>[571]Tasas!$B$17</f>
        <v>0.96988046969617192</v>
      </c>
      <c r="E29" s="6">
        <f>[571]Tasas!$B$28</f>
        <v>0.94821319983595664</v>
      </c>
      <c r="F29" s="6">
        <f>[571]Tasas!$B$31</f>
        <v>1.021482602118003</v>
      </c>
      <c r="G29" s="6">
        <f>[571]Tasas!$B$35</f>
        <v>0.80174563591022441</v>
      </c>
    </row>
    <row r="30" spans="2:7" ht="15" thickBot="1" x14ac:dyDescent="0.25">
      <c r="B30" s="5" t="s">
        <v>60</v>
      </c>
      <c r="C30" s="6">
        <f>[572]Tasas!$B$36</f>
        <v>1.0198303014720063</v>
      </c>
      <c r="D30" s="6">
        <f>[572]Tasas!$B$17</f>
        <v>1.1077306733167083</v>
      </c>
      <c r="E30" s="6">
        <f>[572]Tasas!$B$28</f>
        <v>0.99898124565871727</v>
      </c>
      <c r="F30" s="6">
        <f>[572]Tasas!$B$31</f>
        <v>0.8272425249169435</v>
      </c>
      <c r="G30" s="6">
        <f>[572]Tasas!$B$35</f>
        <v>0.86510590858416947</v>
      </c>
    </row>
    <row r="31" spans="2:7" ht="15" thickBot="1" x14ac:dyDescent="0.25">
      <c r="B31" s="5" t="s">
        <v>61</v>
      </c>
      <c r="C31" s="6">
        <f>[573]Tasas!$B$36</f>
        <v>1.0064475662512797</v>
      </c>
      <c r="D31" s="6">
        <f>[573]Tasas!$B$17</f>
        <v>1.038364553314121</v>
      </c>
      <c r="E31" s="6">
        <f>[573]Tasas!$B$28</f>
        <v>1.0078815022393475</v>
      </c>
      <c r="F31" s="6">
        <f>[573]Tasas!$B$31</f>
        <v>0.83327592146055807</v>
      </c>
      <c r="G31" s="6">
        <f>[573]Tasas!$B$35</f>
        <v>0.91122327790973867</v>
      </c>
    </row>
    <row r="32" spans="2:7" ht="15" thickBot="1" x14ac:dyDescent="0.25">
      <c r="B32" s="5" t="s">
        <v>62</v>
      </c>
      <c r="C32" s="6">
        <f>[574]Tasas!$B$36</f>
        <v>0.99070347919107538</v>
      </c>
      <c r="D32" s="6">
        <f>[574]Tasas!$B$17</f>
        <v>1.0428267692619215</v>
      </c>
      <c r="E32" s="6">
        <f>[574]Tasas!$B$28</f>
        <v>0.98105428675525896</v>
      </c>
      <c r="F32" s="6">
        <f>[574]Tasas!$B$31</f>
        <v>0.88696655132641289</v>
      </c>
      <c r="G32" s="6">
        <f>[574]Tasas!$B$35</f>
        <v>0.91978719050542257</v>
      </c>
    </row>
    <row r="33" spans="2:7" ht="15" thickBot="1" x14ac:dyDescent="0.25">
      <c r="B33" s="5" t="s">
        <v>63</v>
      </c>
      <c r="C33" s="6">
        <f>[575]Tasas!$B$36</f>
        <v>1.005172502091193</v>
      </c>
      <c r="D33" s="6">
        <f>[575]Tasas!$B$17</f>
        <v>1.0300393750793853</v>
      </c>
      <c r="E33" s="6">
        <f>[575]Tasas!$B$28</f>
        <v>0.99930602027412196</v>
      </c>
      <c r="F33" s="6">
        <f>[575]Tasas!$B$31</f>
        <v>0.86339522546419101</v>
      </c>
      <c r="G33" s="6">
        <f>[575]Tasas!$B$35</f>
        <v>0.97748267898383367</v>
      </c>
    </row>
    <row r="34" spans="2:7" ht="15" thickBot="1" x14ac:dyDescent="0.25">
      <c r="B34" s="5" t="s">
        <v>64</v>
      </c>
      <c r="C34" s="6">
        <f>[576]Tasas!$B$36</f>
        <v>1.0022519178421183</v>
      </c>
      <c r="D34" s="6">
        <f>[576]Tasas!$B$17</f>
        <v>1.0399293880295897</v>
      </c>
      <c r="E34" s="6">
        <f>[576]Tasas!$B$28</f>
        <v>0.9869991823385118</v>
      </c>
      <c r="F34" s="6">
        <f>[576]Tasas!$B$31</f>
        <v>0.64752475247524754</v>
      </c>
      <c r="G34" s="6">
        <f>[576]Tasas!$B$35</f>
        <v>1.1843245372193778</v>
      </c>
    </row>
    <row r="35" spans="2:7" ht="15" thickBot="1" x14ac:dyDescent="0.25">
      <c r="B35" s="5" t="s">
        <v>65</v>
      </c>
      <c r="C35" s="6">
        <f>[577]Tasas!$B$36</f>
        <v>0.95458505772162927</v>
      </c>
      <c r="D35" s="6">
        <f>[577]Tasas!$B$17</f>
        <v>0.97682889026658404</v>
      </c>
      <c r="E35" s="6">
        <f>[577]Tasas!$B$28</f>
        <v>0.94435227429835478</v>
      </c>
      <c r="F35" s="6">
        <f>[577]Tasas!$B$31</f>
        <v>0.88888888888888884</v>
      </c>
      <c r="G35" s="6">
        <f>[577]Tasas!$B$35</f>
        <v>0.98270600203458802</v>
      </c>
    </row>
    <row r="36" spans="2:7" ht="15" thickBot="1" x14ac:dyDescent="0.25">
      <c r="B36" s="5" t="s">
        <v>32</v>
      </c>
      <c r="C36" s="6">
        <f>[578]Tasas!$B$36</f>
        <v>1.0066647643297189</v>
      </c>
      <c r="D36" s="6">
        <f>[578]Tasas!$B$17</f>
        <v>1.0993278766419889</v>
      </c>
      <c r="E36" s="6">
        <f>[578]Tasas!$B$28</f>
        <v>0.99902828762686247</v>
      </c>
      <c r="F36" s="6">
        <f>[578]Tasas!$B$31</f>
        <v>0.73132375512668901</v>
      </c>
      <c r="G36" s="6">
        <f>[578]Tasas!$B$35</f>
        <v>0.90875608676405484</v>
      </c>
    </row>
    <row r="37" spans="2:7" ht="15" thickBot="1" x14ac:dyDescent="0.25">
      <c r="B37" s="5" t="s">
        <v>66</v>
      </c>
      <c r="C37" s="6">
        <f>[579]Tasas!$B$36</f>
        <v>1.0063358157746467</v>
      </c>
      <c r="D37" s="6">
        <f>[579]Tasas!$B$17</f>
        <v>1.0231151809845858</v>
      </c>
      <c r="E37" s="6">
        <f>[579]Tasas!$B$28</f>
        <v>1.0098784431868839</v>
      </c>
      <c r="F37" s="6">
        <f>[579]Tasas!$B$31</f>
        <v>1.1014250866606754</v>
      </c>
      <c r="G37" s="6">
        <f>[579]Tasas!$B$35</f>
        <v>0.78517637732857704</v>
      </c>
    </row>
    <row r="38" spans="2:7" ht="15" thickBot="1" x14ac:dyDescent="0.25">
      <c r="B38" s="5" t="s">
        <v>33</v>
      </c>
      <c r="C38" s="6">
        <f>[580]Tasas!$B$36</f>
        <v>1.0049281270644259</v>
      </c>
      <c r="D38" s="6">
        <f>[580]Tasas!$B$17</f>
        <v>1.0412995506016141</v>
      </c>
      <c r="E38" s="6">
        <f>[580]Tasas!$B$28</f>
        <v>1.0012543816592545</v>
      </c>
      <c r="F38" s="6">
        <f>[580]Tasas!$B$31</f>
        <v>0.95124508519003936</v>
      </c>
      <c r="G38" s="6">
        <f>[580]Tasas!$B$35</f>
        <v>0.90997170539312355</v>
      </c>
    </row>
    <row r="39" spans="2:7" ht="15" thickBot="1" x14ac:dyDescent="0.25">
      <c r="B39" s="5" t="s">
        <v>34</v>
      </c>
      <c r="C39" s="6">
        <f>[581]Tasas!$B$36</f>
        <v>1.0269146434292595</v>
      </c>
      <c r="D39" s="6">
        <f>[581]Tasas!$B$17</f>
        <v>1.0951630691665353</v>
      </c>
      <c r="E39" s="6">
        <f>[581]Tasas!$B$28</f>
        <v>1.0173622704507512</v>
      </c>
      <c r="F39" s="6">
        <f>[581]Tasas!$B$31</f>
        <v>0.91877496671105197</v>
      </c>
      <c r="G39" s="6">
        <f>[581]Tasas!$B$35</f>
        <v>0.90809399477806785</v>
      </c>
    </row>
    <row r="40" spans="2:7" ht="15" thickBot="1" x14ac:dyDescent="0.25">
      <c r="B40" s="5" t="s">
        <v>67</v>
      </c>
      <c r="C40" s="6">
        <f>[582]Tasas!$B$36</f>
        <v>1.0259354669693928</v>
      </c>
      <c r="D40" s="6">
        <f>[582]Tasas!$B$17</f>
        <v>1.0560488346281909</v>
      </c>
      <c r="E40" s="6">
        <f>[582]Tasas!$B$28</f>
        <v>1.0176814720397425</v>
      </c>
      <c r="F40" s="6">
        <f>[582]Tasas!$B$31</f>
        <v>1.0959332638164756</v>
      </c>
      <c r="G40" s="6">
        <f>[582]Tasas!$B$35</f>
        <v>0.98516579406631766</v>
      </c>
    </row>
    <row r="41" spans="2:7" ht="15" thickBot="1" x14ac:dyDescent="0.25">
      <c r="B41" s="5" t="s">
        <v>31</v>
      </c>
      <c r="C41" s="6">
        <f>[583]Tasas!$B$36</f>
        <v>1.0039467656490433</v>
      </c>
      <c r="D41" s="6">
        <f>[583]Tasas!$B$17</f>
        <v>1.0464550287141607</v>
      </c>
      <c r="E41" s="6">
        <f>[583]Tasas!$B$28</f>
        <v>0.99999071727607747</v>
      </c>
      <c r="F41" s="6">
        <f>[583]Tasas!$B$31</f>
        <v>0.91359383599339572</v>
      </c>
      <c r="G41" s="6">
        <f>[583]Tasas!$B$35</f>
        <v>0.90144230769230771</v>
      </c>
    </row>
    <row r="42" spans="2:7" ht="15" thickBot="1" x14ac:dyDescent="0.25">
      <c r="B42" s="5" t="s">
        <v>68</v>
      </c>
      <c r="C42" s="6">
        <f>[584]Tasas!$B$36</f>
        <v>0.9733878131106769</v>
      </c>
      <c r="D42" s="6">
        <f>[584]Tasas!$B$17</f>
        <v>0.97817896389324965</v>
      </c>
      <c r="E42" s="6">
        <f>[584]Tasas!$B$28</f>
        <v>0.95958831542303613</v>
      </c>
      <c r="F42" s="6">
        <f>[584]Tasas!$B$31</f>
        <v>1.401673640167364</v>
      </c>
      <c r="G42" s="6">
        <f>[584]Tasas!$B$35</f>
        <v>0.99932249322493227</v>
      </c>
    </row>
    <row r="43" spans="2:7" ht="15" thickBot="1" x14ac:dyDescent="0.25">
      <c r="B43" s="5" t="s">
        <v>69</v>
      </c>
      <c r="C43" s="6">
        <f>[585]Tasas!$B$36</f>
        <v>1.0415220454311145</v>
      </c>
      <c r="D43" s="6">
        <f>[585]Tasas!$B$17</f>
        <v>1.1698800181104738</v>
      </c>
      <c r="E43" s="6">
        <f>[585]Tasas!$B$28</f>
        <v>1.0057160866126162</v>
      </c>
      <c r="F43" s="6">
        <f>[585]Tasas!$B$31</f>
        <v>1</v>
      </c>
      <c r="G43" s="6">
        <f>[585]Tasas!$B$35</f>
        <v>0.98167048531555923</v>
      </c>
    </row>
    <row r="44" spans="2:7" ht="15" thickBot="1" x14ac:dyDescent="0.25">
      <c r="B44" s="5" t="s">
        <v>70</v>
      </c>
      <c r="C44" s="6">
        <f>[586]Tasas!$B$36</f>
        <v>1.0040674679119141</v>
      </c>
      <c r="D44" s="6">
        <f>[586]Tasas!$B$17</f>
        <v>1.0069850552306692</v>
      </c>
      <c r="E44" s="6">
        <f>[586]Tasas!$B$28</f>
        <v>1.0089415279556124</v>
      </c>
      <c r="F44" s="6">
        <f>[586]Tasas!$B$31</f>
        <v>1.0372199012533232</v>
      </c>
      <c r="G44" s="6">
        <f>[586]Tasas!$B$35</f>
        <v>0.9108921161825726</v>
      </c>
    </row>
    <row r="45" spans="2:7" ht="15" thickBot="1" x14ac:dyDescent="0.25">
      <c r="B45" s="5" t="s">
        <v>71</v>
      </c>
      <c r="C45" s="6">
        <f>[587]Tasas!$B$36</f>
        <v>1.0395792442403338</v>
      </c>
      <c r="D45" s="6">
        <f>[587]Tasas!$B$17</f>
        <v>1.087450400684665</v>
      </c>
      <c r="E45" s="6">
        <f>[587]Tasas!$B$28</f>
        <v>1.0347891066091</v>
      </c>
      <c r="F45" s="6">
        <f>[587]Tasas!$B$31</f>
        <v>1.0559380378657488</v>
      </c>
      <c r="G45" s="6">
        <f>[587]Tasas!$B$35</f>
        <v>0.84163090128755369</v>
      </c>
    </row>
    <row r="46" spans="2:7" ht="15" thickBot="1" x14ac:dyDescent="0.25">
      <c r="B46" s="5" t="s">
        <v>72</v>
      </c>
      <c r="C46" s="6">
        <f>[588]Tasas!$B$36</f>
        <v>1.0487291652165533</v>
      </c>
      <c r="D46" s="6">
        <f>[588]Tasas!$B$17</f>
        <v>1.155303295727933</v>
      </c>
      <c r="E46" s="6">
        <f>[588]Tasas!$B$28</f>
        <v>1.0217857436364859</v>
      </c>
      <c r="F46" s="6">
        <f>[588]Tasas!$B$31</f>
        <v>1.0678840809845176</v>
      </c>
      <c r="G46" s="6">
        <f>[588]Tasas!$B$35</f>
        <v>0.91629317163195356</v>
      </c>
    </row>
    <row r="47" spans="2:7" ht="15" thickBot="1" x14ac:dyDescent="0.25">
      <c r="B47" s="5" t="s">
        <v>5</v>
      </c>
      <c r="C47" s="6">
        <f>[589]Tasas!$B$36</f>
        <v>0.99699603732583408</v>
      </c>
      <c r="D47" s="6">
        <f>[589]Tasas!$B$17</f>
        <v>1.0815310239540548</v>
      </c>
      <c r="E47" s="6">
        <f>[589]Tasas!$B$28</f>
        <v>0.97026864071816177</v>
      </c>
      <c r="F47" s="6">
        <f>[589]Tasas!$B$31</f>
        <v>0.96113223489649346</v>
      </c>
      <c r="G47" s="6">
        <f>[589]Tasas!$B$35</f>
        <v>0.94789379117588346</v>
      </c>
    </row>
    <row r="48" spans="2:7" ht="15" thickBot="1" x14ac:dyDescent="0.25">
      <c r="B48" s="5" t="s">
        <v>73</v>
      </c>
      <c r="C48" s="6">
        <f>[590]Tasas!$B$36</f>
        <v>1.0119201308202084</v>
      </c>
      <c r="D48" s="6">
        <f>[590]Tasas!$B$17</f>
        <v>1.1183178902352102</v>
      </c>
      <c r="E48" s="6">
        <f>[590]Tasas!$B$28</f>
        <v>0.97216920140385443</v>
      </c>
      <c r="F48" s="6">
        <f>[590]Tasas!$B$31</f>
        <v>1.2818003913894325</v>
      </c>
      <c r="G48" s="6">
        <f>[590]Tasas!$B$35</f>
        <v>0.90961098398169338</v>
      </c>
    </row>
    <row r="49" spans="2:7" ht="15" thickBot="1" x14ac:dyDescent="0.25">
      <c r="B49" s="5" t="s">
        <v>74</v>
      </c>
      <c r="C49" s="6">
        <f>[591]Tasas!$B$36</f>
        <v>0.98372765609862656</v>
      </c>
      <c r="D49" s="6">
        <f>[591]Tasas!$B$17</f>
        <v>0.98466666666666669</v>
      </c>
      <c r="E49" s="6">
        <f>[591]Tasas!$B$28</f>
        <v>0.99141303668520719</v>
      </c>
      <c r="F49" s="6">
        <f>[591]Tasas!$B$31</f>
        <v>1.0243281471004244</v>
      </c>
      <c r="G49" s="6">
        <f>[591]Tasas!$B$35</f>
        <v>0.79296346414073071</v>
      </c>
    </row>
    <row r="50" spans="2:7" ht="15" thickBot="1" x14ac:dyDescent="0.25">
      <c r="B50" s="5" t="s">
        <v>75</v>
      </c>
      <c r="C50" s="6">
        <f>[592]Tasas!$B$36</f>
        <v>0.97272793210995867</v>
      </c>
      <c r="D50" s="6">
        <f>[592]Tasas!$B$17</f>
        <v>1.0791743684534811</v>
      </c>
      <c r="E50" s="6">
        <f>[592]Tasas!$B$28</f>
        <v>0.95794839120739084</v>
      </c>
      <c r="F50" s="6">
        <f>[592]Tasas!$B$31</f>
        <v>0.88998357963875208</v>
      </c>
      <c r="G50" s="6">
        <f>[592]Tasas!$B$35</f>
        <v>0.66990291262135926</v>
      </c>
    </row>
    <row r="51" spans="2:7" ht="15" thickBot="1" x14ac:dyDescent="0.25">
      <c r="B51" s="5" t="s">
        <v>76</v>
      </c>
      <c r="C51" s="6">
        <f>[593]Tasas!$B$36</f>
        <v>1.0349844149858705</v>
      </c>
      <c r="D51" s="6">
        <f>[593]Tasas!$B$17</f>
        <v>1.0997116770783277</v>
      </c>
      <c r="E51" s="6">
        <f>[593]Tasas!$B$28</f>
        <v>1.0238947957470621</v>
      </c>
      <c r="F51" s="6">
        <f>[593]Tasas!$B$31</f>
        <v>0.97696879643387813</v>
      </c>
      <c r="G51" s="6">
        <f>[593]Tasas!$B$35</f>
        <v>0.90154738878143137</v>
      </c>
    </row>
    <row r="52" spans="2:7" ht="15" thickBot="1" x14ac:dyDescent="0.25">
      <c r="B52" s="5" t="s">
        <v>77</v>
      </c>
      <c r="C52" s="6">
        <f>[594]Tasas!$B$36</f>
        <v>0.9838440918640875</v>
      </c>
      <c r="D52" s="6">
        <f>[594]Tasas!$B$17</f>
        <v>0.9970750731231719</v>
      </c>
      <c r="E52" s="6">
        <f>[594]Tasas!$B$28</f>
        <v>0.97622192866578594</v>
      </c>
      <c r="F52" s="6">
        <f>[594]Tasas!$B$31</f>
        <v>0.98634812286689422</v>
      </c>
      <c r="G52" s="6">
        <f>[594]Tasas!$B$35</f>
        <v>1.0405405405405406</v>
      </c>
    </row>
    <row r="53" spans="2:7" ht="15" thickBot="1" x14ac:dyDescent="0.25">
      <c r="B53" s="5" t="s">
        <v>78</v>
      </c>
      <c r="C53" s="6">
        <f>[595]Tasas!$B$36</f>
        <v>0.96673467131644275</v>
      </c>
      <c r="D53" s="6">
        <f>[595]Tasas!$B$17</f>
        <v>1.0678619536439222</v>
      </c>
      <c r="E53" s="6">
        <f>[595]Tasas!$B$28</f>
        <v>0.95407644642484157</v>
      </c>
      <c r="F53" s="6">
        <f>[595]Tasas!$B$31</f>
        <v>0.90010460251046021</v>
      </c>
      <c r="G53" s="6">
        <f>[595]Tasas!$B$35</f>
        <v>0.69813986343301149</v>
      </c>
    </row>
    <row r="54" spans="2:7" ht="15" thickBot="1" x14ac:dyDescent="0.25">
      <c r="B54" s="5" t="s">
        <v>79</v>
      </c>
      <c r="C54" s="6">
        <f>[596]Tasas!$B$36</f>
        <v>1.0056579918644282</v>
      </c>
      <c r="D54" s="6">
        <f>[596]Tasas!$B$17</f>
        <v>1.0827283397817675</v>
      </c>
      <c r="E54" s="6">
        <f>[596]Tasas!$B$28</f>
        <v>0.99632005104622767</v>
      </c>
      <c r="F54" s="6">
        <f>[596]Tasas!$B$31</f>
        <v>1.0630236794171219</v>
      </c>
      <c r="G54" s="6">
        <f>[596]Tasas!$B$35</f>
        <v>0.74189825091005945</v>
      </c>
    </row>
    <row r="55" spans="2:7" ht="15" thickBot="1" x14ac:dyDescent="0.25">
      <c r="B55" s="5" t="s">
        <v>80</v>
      </c>
      <c r="C55" s="6">
        <f>[597]Tasas!$B$36</f>
        <v>1.065321386076103</v>
      </c>
      <c r="D55" s="6">
        <f>[597]Tasas!$B$17</f>
        <v>1.1336526504858839</v>
      </c>
      <c r="E55" s="6">
        <f>[597]Tasas!$B$28</f>
        <v>1.0235018709332546</v>
      </c>
      <c r="F55" s="6">
        <f>[597]Tasas!$B$31</f>
        <v>1.3660100778744846</v>
      </c>
      <c r="G55" s="6">
        <f>[597]Tasas!$B$35</f>
        <v>1.0958481613285884</v>
      </c>
    </row>
    <row r="56" spans="2:7" ht="15" thickBot="1" x14ac:dyDescent="0.25">
      <c r="B56" s="5" t="s">
        <v>81</v>
      </c>
      <c r="C56" s="6">
        <f>[598]Tasas!$B$36</f>
        <v>1.0176200660835248</v>
      </c>
      <c r="D56" s="6">
        <f>[598]Tasas!$B$17</f>
        <v>1.0128352290514453</v>
      </c>
      <c r="E56" s="6">
        <f>[598]Tasas!$B$28</f>
        <v>0.99563044949635704</v>
      </c>
      <c r="F56" s="6">
        <f>[598]Tasas!$B$31</f>
        <v>2.0563623789764867</v>
      </c>
      <c r="G56" s="6">
        <f>[598]Tasas!$B$35</f>
        <v>0.95208489655911677</v>
      </c>
    </row>
    <row r="57" spans="2:7" ht="15" thickBot="1" x14ac:dyDescent="0.25">
      <c r="B57" s="5" t="s">
        <v>82</v>
      </c>
      <c r="C57" s="6">
        <f>[599]Tasas!$B$36</f>
        <v>0.97743891873158895</v>
      </c>
      <c r="D57" s="6">
        <f>[599]Tasas!$B$17</f>
        <v>1.00565812983919</v>
      </c>
      <c r="E57" s="6">
        <f>[599]Tasas!$B$28</f>
        <v>0.9804735775371991</v>
      </c>
      <c r="F57" s="6">
        <f>[599]Tasas!$B$31</f>
        <v>1.1177570093457945</v>
      </c>
      <c r="G57" s="6">
        <f>[599]Tasas!$B$35</f>
        <v>0.74036363636363633</v>
      </c>
    </row>
    <row r="58" spans="2:7" ht="15" thickBot="1" x14ac:dyDescent="0.25">
      <c r="B58" s="5" t="s">
        <v>83</v>
      </c>
      <c r="C58" s="6">
        <f>[600]Tasas!$B$36</f>
        <v>1.0187530073188644</v>
      </c>
      <c r="D58" s="6">
        <f>[600]Tasas!$B$17</f>
        <v>1.0941899717320307</v>
      </c>
      <c r="E58" s="6">
        <f>[600]Tasas!$B$28</f>
        <v>1.0060436002590114</v>
      </c>
      <c r="F58" s="6">
        <f>[600]Tasas!$B$31</f>
        <v>0.95720555961960496</v>
      </c>
      <c r="G58" s="6">
        <f>[600]Tasas!$B$35</f>
        <v>0.86486486486486491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1FD39-F251-47D1-9B1E-0A1689A7612B}">
  <dimension ref="B7:G58"/>
  <sheetViews>
    <sheetView workbookViewId="0">
      <selection activeCell="A3" sqref="A3"/>
    </sheetView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f>[601]Tasas!$B$36</f>
        <v>1.0870766223279928</v>
      </c>
      <c r="D9" s="6">
        <f>[601]Tasas!$B$17</f>
        <v>0.98345733041575489</v>
      </c>
      <c r="E9" s="6">
        <f>[601]Tasas!$B$28</f>
        <v>1.0041732386961093</v>
      </c>
      <c r="F9" s="6">
        <f>[601]Tasas!$B$31</f>
        <v>2.5837813620071683</v>
      </c>
      <c r="G9" s="6">
        <f>[601]Tasas!$B$35</f>
        <v>1.210225361587622</v>
      </c>
    </row>
    <row r="10" spans="2:7" s="8" customFormat="1" ht="20.100000000000001" customHeight="1" thickBot="1" x14ac:dyDescent="0.25">
      <c r="B10" s="5" t="s">
        <v>40</v>
      </c>
      <c r="C10" s="6">
        <f>[602]Tasas!$B$36</f>
        <v>0.98936015158140211</v>
      </c>
      <c r="D10" s="6">
        <f>[602]Tasas!$B$17</f>
        <v>0.97333240978042534</v>
      </c>
      <c r="E10" s="6">
        <f>[602]Tasas!$B$28</f>
        <v>0.99804407713498622</v>
      </c>
      <c r="F10" s="6">
        <f>[602]Tasas!$B$31</f>
        <v>0.86813186813186816</v>
      </c>
      <c r="G10" s="6">
        <f>[602]Tasas!$B$35</f>
        <v>1.0094339622641511</v>
      </c>
    </row>
    <row r="11" spans="2:7" s="8" customFormat="1" ht="20.100000000000001" customHeight="1" thickBot="1" x14ac:dyDescent="0.25">
      <c r="B11" s="5" t="s">
        <v>41</v>
      </c>
      <c r="C11" s="6">
        <f>[603]Tasas!$B$36</f>
        <v>0.9565135639147323</v>
      </c>
      <c r="D11" s="6">
        <f>[603]Tasas!$B$17</f>
        <v>0.88066389331508199</v>
      </c>
      <c r="E11" s="6">
        <f>[603]Tasas!$B$28</f>
        <v>0.98578305485024209</v>
      </c>
      <c r="F11" s="6">
        <f>[603]Tasas!$B$31</f>
        <v>0.89396170839469813</v>
      </c>
      <c r="G11" s="6">
        <f>[603]Tasas!$B$35</f>
        <v>0.90746065375302665</v>
      </c>
    </row>
    <row r="12" spans="2:7" s="8" customFormat="1" ht="20.100000000000001" customHeight="1" thickBot="1" x14ac:dyDescent="0.25">
      <c r="B12" s="5" t="s">
        <v>42</v>
      </c>
      <c r="C12" s="6">
        <f>[604]Tasas!$B$36</f>
        <v>0.96706573778350546</v>
      </c>
      <c r="D12" s="6">
        <f>[604]Tasas!$B$17</f>
        <v>0.86719757082700732</v>
      </c>
      <c r="E12" s="6">
        <f>[604]Tasas!$B$28</f>
        <v>1.0027099578166943</v>
      </c>
      <c r="F12" s="6">
        <f>[604]Tasas!$B$31</f>
        <v>0.88453237410071939</v>
      </c>
      <c r="G12" s="6">
        <f>[604]Tasas!$B$35</f>
        <v>0.88352120236178211</v>
      </c>
    </row>
    <row r="13" spans="2:7" s="8" customFormat="1" ht="20.100000000000001" customHeight="1" thickBot="1" x14ac:dyDescent="0.25">
      <c r="B13" s="5" t="s">
        <v>43</v>
      </c>
      <c r="C13" s="6">
        <f>[605]Tasas!$B$36</f>
        <v>0.98760470428970304</v>
      </c>
      <c r="D13" s="6">
        <f>[605]Tasas!$B$17</f>
        <v>0.95702990718459957</v>
      </c>
      <c r="E13" s="6">
        <f>[605]Tasas!$B$28</f>
        <v>1.0045227326826947</v>
      </c>
      <c r="F13" s="6">
        <f>[605]Tasas!$B$31</f>
        <v>0.81034482758620685</v>
      </c>
      <c r="G13" s="6">
        <f>[605]Tasas!$B$35</f>
        <v>0.95951417004048578</v>
      </c>
    </row>
    <row r="14" spans="2:7" s="8" customFormat="1" ht="20.100000000000001" customHeight="1" thickBot="1" x14ac:dyDescent="0.25">
      <c r="B14" s="5" t="s">
        <v>44</v>
      </c>
      <c r="C14" s="6">
        <f>[606]Tasas!$B$36</f>
        <v>0.97213654710227704</v>
      </c>
      <c r="D14" s="6">
        <f>[606]Tasas!$B$17</f>
        <v>0.97011387207382638</v>
      </c>
      <c r="E14" s="6">
        <f>[606]Tasas!$B$28</f>
        <v>0.97648738571166593</v>
      </c>
      <c r="F14" s="6">
        <f>[606]Tasas!$B$31</f>
        <v>0.98072916666666665</v>
      </c>
      <c r="G14" s="6">
        <f>[606]Tasas!$B$35</f>
        <v>0.87701549162187797</v>
      </c>
    </row>
    <row r="15" spans="2:7" s="8" customFormat="1" ht="20.100000000000001" customHeight="1" thickBot="1" x14ac:dyDescent="0.25">
      <c r="B15" s="5" t="s">
        <v>45</v>
      </c>
      <c r="C15" s="6">
        <f>[607]Tasas!$B$36</f>
        <v>0.96102645185326541</v>
      </c>
      <c r="D15" s="6">
        <f>[607]Tasas!$B$17</f>
        <v>0.89904301774598161</v>
      </c>
      <c r="E15" s="6">
        <f>[607]Tasas!$B$28</f>
        <v>0.99153632089050958</v>
      </c>
      <c r="F15" s="6">
        <f>[607]Tasas!$B$31</f>
        <v>0.86779367143476371</v>
      </c>
      <c r="G15" s="6">
        <f>[607]Tasas!$B$35</f>
        <v>0.80198407518600701</v>
      </c>
    </row>
    <row r="16" spans="2:7" s="8" customFormat="1" ht="20.100000000000001" customHeight="1" thickBot="1" x14ac:dyDescent="0.25">
      <c r="B16" s="5" t="s">
        <v>46</v>
      </c>
      <c r="C16" s="6">
        <f>[608]Tasas!$B$36</f>
        <v>1.001304974352347</v>
      </c>
      <c r="D16" s="6">
        <f>[608]Tasas!$B$17</f>
        <v>0.99282697539471731</v>
      </c>
      <c r="E16" s="6">
        <f>[608]Tasas!$B$28</f>
        <v>1.0104735649662095</v>
      </c>
      <c r="F16" s="6">
        <f>[608]Tasas!$B$31</f>
        <v>0.9505466778805719</v>
      </c>
      <c r="G16" s="6">
        <f>[608]Tasas!$B$35</f>
        <v>0.9195305775407806</v>
      </c>
    </row>
    <row r="17" spans="2:7" s="8" customFormat="1" ht="20.100000000000001" customHeight="1" thickBot="1" x14ac:dyDescent="0.25">
      <c r="B17" s="5" t="s">
        <v>47</v>
      </c>
      <c r="C17" s="6">
        <f>[609]Tasas!$B$36</f>
        <v>0.97574160189366599</v>
      </c>
      <c r="D17" s="6">
        <f>[609]Tasas!$B$17</f>
        <v>0.99154780771262552</v>
      </c>
      <c r="E17" s="6">
        <f>[609]Tasas!$B$28</f>
        <v>0.98846202292480156</v>
      </c>
      <c r="F17" s="6">
        <f>[609]Tasas!$B$31</f>
        <v>0.74625935162094759</v>
      </c>
      <c r="G17" s="6">
        <f>[609]Tasas!$B$35</f>
        <v>0.85531370038412291</v>
      </c>
    </row>
    <row r="18" spans="2:7" s="8" customFormat="1" ht="20.100000000000001" customHeight="1" thickBot="1" x14ac:dyDescent="0.25">
      <c r="B18" s="5" t="s">
        <v>48</v>
      </c>
      <c r="C18" s="6">
        <f>[610]Tasas!$B$36</f>
        <v>0.96438273468155755</v>
      </c>
      <c r="D18" s="6">
        <f>[610]Tasas!$B$17</f>
        <v>0.96052298608182196</v>
      </c>
      <c r="E18" s="6">
        <f>[610]Tasas!$B$28</f>
        <v>0.97203682393555813</v>
      </c>
      <c r="F18" s="6">
        <f>[610]Tasas!$B$31</f>
        <v>0.80319148936170215</v>
      </c>
      <c r="G18" s="6">
        <f>[610]Tasas!$B$35</f>
        <v>0.94467213114754101</v>
      </c>
    </row>
    <row r="19" spans="2:7" s="8" customFormat="1" ht="20.100000000000001" customHeight="1" thickBot="1" x14ac:dyDescent="0.25">
      <c r="B19" s="5" t="s">
        <v>49</v>
      </c>
      <c r="C19" s="6">
        <f>[611]Tasas!$B$36</f>
        <v>0.99028313151631231</v>
      </c>
      <c r="D19" s="6">
        <f>[611]Tasas!$B$17</f>
        <v>0.95850932681231182</v>
      </c>
      <c r="E19" s="6">
        <f>[611]Tasas!$B$28</f>
        <v>0.99981202401795977</v>
      </c>
      <c r="F19" s="6">
        <f>[611]Tasas!$B$31</f>
        <v>1.1380208333333333</v>
      </c>
      <c r="G19" s="6">
        <f>[611]Tasas!$B$35</f>
        <v>0.84703756292758492</v>
      </c>
    </row>
    <row r="20" spans="2:7" s="8" customFormat="1" ht="20.100000000000001" customHeight="1" thickBot="1" x14ac:dyDescent="0.25">
      <c r="B20" s="5" t="s">
        <v>50</v>
      </c>
      <c r="C20" s="6">
        <f>[612]Tasas!$B$36</f>
        <v>0.95913218519346899</v>
      </c>
      <c r="D20" s="6">
        <f>[612]Tasas!$B$17</f>
        <v>0.93639635968486823</v>
      </c>
      <c r="E20" s="6">
        <f>[612]Tasas!$B$28</f>
        <v>0.95894618388826369</v>
      </c>
      <c r="F20" s="6">
        <f>[612]Tasas!$B$31</f>
        <v>1.162779397473275</v>
      </c>
      <c r="G20" s="6">
        <f>[612]Tasas!$B$35</f>
        <v>1.0149978876214618</v>
      </c>
    </row>
    <row r="21" spans="2:7" s="8" customFormat="1" ht="20.100000000000001" customHeight="1" thickBot="1" x14ac:dyDescent="0.25">
      <c r="B21" s="5" t="s">
        <v>51</v>
      </c>
      <c r="C21" s="6">
        <f>[613]Tasas!$B$36</f>
        <v>0.98365919979282657</v>
      </c>
      <c r="D21" s="6">
        <f>[613]Tasas!$B$17</f>
        <v>1.0110315023314</v>
      </c>
      <c r="E21" s="6">
        <f>[613]Tasas!$B$28</f>
        <v>0.99106786245960565</v>
      </c>
      <c r="F21" s="6">
        <f>[613]Tasas!$B$31</f>
        <v>0.82960893854748607</v>
      </c>
      <c r="G21" s="6">
        <f>[613]Tasas!$B$35</f>
        <v>0.77608944954128445</v>
      </c>
    </row>
    <row r="22" spans="2:7" s="8" customFormat="1" ht="15" thickBot="1" x14ac:dyDescent="0.25">
      <c r="B22" s="5" t="s">
        <v>52</v>
      </c>
      <c r="C22" s="6">
        <f>[614]Tasas!$B$36</f>
        <v>0.98879077736236443</v>
      </c>
      <c r="D22" s="6">
        <f>[614]Tasas!$B$17</f>
        <v>0.97809875713805849</v>
      </c>
      <c r="E22" s="6">
        <f>[614]Tasas!$B$28</f>
        <v>1.0011109212100495</v>
      </c>
      <c r="F22" s="6">
        <f>[614]Tasas!$B$31</f>
        <v>1.0837876614060258</v>
      </c>
      <c r="G22" s="6">
        <f>[614]Tasas!$B$35</f>
        <v>0.75455845548802292</v>
      </c>
    </row>
    <row r="23" spans="2:7" s="8" customFormat="1" ht="20.100000000000001" customHeight="1" thickBot="1" x14ac:dyDescent="0.25">
      <c r="B23" s="5" t="s">
        <v>53</v>
      </c>
      <c r="C23" s="6">
        <f>[615]Tasas!$B$36</f>
        <v>0.9853552836720133</v>
      </c>
      <c r="D23" s="6">
        <f>[615]Tasas!$B$17</f>
        <v>1.0092738407699038</v>
      </c>
      <c r="E23" s="6">
        <f>[615]Tasas!$B$28</f>
        <v>0.99703643938277253</v>
      </c>
      <c r="F23" s="6">
        <f>[615]Tasas!$B$31</f>
        <v>0.93095238095238098</v>
      </c>
      <c r="G23" s="6">
        <f>[615]Tasas!$B$35</f>
        <v>0.75731050404001543</v>
      </c>
    </row>
    <row r="24" spans="2:7" s="8" customFormat="1" ht="20.100000000000001" customHeight="1" thickBot="1" x14ac:dyDescent="0.25">
      <c r="B24" s="5" t="s">
        <v>54</v>
      </c>
      <c r="C24" s="6">
        <f>[616]Tasas!$B$36</f>
        <v>0.95254494328773187</v>
      </c>
      <c r="D24" s="6">
        <f>[616]Tasas!$B$17</f>
        <v>0.99544149924024983</v>
      </c>
      <c r="E24" s="6">
        <f>[616]Tasas!$B$28</f>
        <v>0.94168682739634602</v>
      </c>
      <c r="F24" s="6">
        <f>[616]Tasas!$B$31</f>
        <v>1.1630094043887147</v>
      </c>
      <c r="G24" s="6">
        <f>[616]Tasas!$B$35</f>
        <v>0.83781362007168458</v>
      </c>
    </row>
    <row r="25" spans="2:7" s="8" customFormat="1" ht="20.100000000000001" customHeight="1" thickBot="1" x14ac:dyDescent="0.25">
      <c r="B25" s="5" t="s">
        <v>55</v>
      </c>
      <c r="C25" s="6">
        <f>[617]Tasas!$B$36</f>
        <v>0.99047045618416851</v>
      </c>
      <c r="D25" s="6">
        <f>[617]Tasas!$B$17</f>
        <v>0.98186669901146217</v>
      </c>
      <c r="E25" s="6">
        <f>[617]Tasas!$B$28</f>
        <v>0.99762554784991786</v>
      </c>
      <c r="F25" s="6">
        <f>[617]Tasas!$B$31</f>
        <v>1.0194174757281553</v>
      </c>
      <c r="G25" s="6">
        <f>[617]Tasas!$B$35</f>
        <v>0.88306739699928549</v>
      </c>
    </row>
    <row r="26" spans="2:7" s="8" customFormat="1" ht="20.100000000000001" customHeight="1" thickBot="1" x14ac:dyDescent="0.25">
      <c r="B26" s="5" t="s">
        <v>56</v>
      </c>
      <c r="C26" s="6">
        <f>[618]Tasas!$B$36</f>
        <v>0.99553988308182995</v>
      </c>
      <c r="D26" s="6">
        <f>[618]Tasas!$B$17</f>
        <v>0.9659535365911126</v>
      </c>
      <c r="E26" s="6">
        <f>[618]Tasas!$B$28</f>
        <v>1.0076406536629698</v>
      </c>
      <c r="F26" s="6">
        <f>[618]Tasas!$B$31</f>
        <v>0.89459999999999995</v>
      </c>
      <c r="G26" s="6">
        <f>[618]Tasas!$B$35</f>
        <v>0.95058930190389845</v>
      </c>
    </row>
    <row r="27" spans="2:7" ht="15" thickBot="1" x14ac:dyDescent="0.25">
      <c r="B27" s="5" t="s">
        <v>57</v>
      </c>
      <c r="C27" s="6">
        <f>[619]Tasas!$B$36</f>
        <v>0.97182782842624416</v>
      </c>
      <c r="D27" s="6">
        <f>[619]Tasas!$B$17</f>
        <v>0.96959890163773654</v>
      </c>
      <c r="E27" s="6">
        <f>[619]Tasas!$B$28</f>
        <v>0.98722764838467314</v>
      </c>
      <c r="F27" s="6">
        <f>[619]Tasas!$B$31</f>
        <v>0.60436893203883491</v>
      </c>
      <c r="G27" s="6">
        <f>[619]Tasas!$B$35</f>
        <v>1.00382226469183</v>
      </c>
    </row>
    <row r="28" spans="2:7" ht="15" thickBot="1" x14ac:dyDescent="0.25">
      <c r="B28" s="5" t="s">
        <v>58</v>
      </c>
      <c r="C28" s="6">
        <f>[620]Tasas!$B$36</f>
        <v>1.0290986596152092</v>
      </c>
      <c r="D28" s="6">
        <f>[620]Tasas!$B$17</f>
        <v>1.021965378379792</v>
      </c>
      <c r="E28" s="6">
        <f>[620]Tasas!$B$28</f>
        <v>1.0252727094047891</v>
      </c>
      <c r="F28" s="6">
        <f>[620]Tasas!$B$31</f>
        <v>1.3051584835301429</v>
      </c>
      <c r="G28" s="6">
        <f>[620]Tasas!$B$35</f>
        <v>0.90973981119042135</v>
      </c>
    </row>
    <row r="29" spans="2:7" ht="15" thickBot="1" x14ac:dyDescent="0.25">
      <c r="B29" s="5" t="s">
        <v>59</v>
      </c>
      <c r="C29" s="6">
        <f>[621]Tasas!$B$36</f>
        <v>0.94821607765601246</v>
      </c>
      <c r="D29" s="6">
        <f>[621]Tasas!$B$17</f>
        <v>0.93450540958268935</v>
      </c>
      <c r="E29" s="6">
        <f>[621]Tasas!$B$28</f>
        <v>0.96768592649754026</v>
      </c>
      <c r="F29" s="6">
        <f>[621]Tasas!$B$31</f>
        <v>0.79221854304635764</v>
      </c>
      <c r="G29" s="6">
        <f>[621]Tasas!$B$35</f>
        <v>0.79797441364605548</v>
      </c>
    </row>
    <row r="30" spans="2:7" ht="15" thickBot="1" x14ac:dyDescent="0.25">
      <c r="B30" s="5" t="s">
        <v>60</v>
      </c>
      <c r="C30" s="6">
        <f>[622]Tasas!$B$36</f>
        <v>0.98565146213847787</v>
      </c>
      <c r="D30" s="6">
        <f>[622]Tasas!$B$17</f>
        <v>1.0111792282726288</v>
      </c>
      <c r="E30" s="6">
        <f>[622]Tasas!$B$28</f>
        <v>0.98637986098065</v>
      </c>
      <c r="F30" s="6">
        <f>[622]Tasas!$B$31</f>
        <v>0.95993031358885017</v>
      </c>
      <c r="G30" s="6">
        <f>[622]Tasas!$B$35</f>
        <v>0.76549586776859502</v>
      </c>
    </row>
    <row r="31" spans="2:7" ht="15" thickBot="1" x14ac:dyDescent="0.25">
      <c r="B31" s="5" t="s">
        <v>61</v>
      </c>
      <c r="C31" s="6">
        <f>[623]Tasas!$B$36</f>
        <v>0.98729496722371868</v>
      </c>
      <c r="D31" s="6">
        <f>[623]Tasas!$B$17</f>
        <v>0.97232576985413288</v>
      </c>
      <c r="E31" s="6">
        <f>[623]Tasas!$B$28</f>
        <v>0.99539839491632198</v>
      </c>
      <c r="F31" s="6">
        <f>[623]Tasas!$B$31</f>
        <v>0.91710037174721193</v>
      </c>
      <c r="G31" s="6">
        <f>[623]Tasas!$B$35</f>
        <v>0.97682430316316948</v>
      </c>
    </row>
    <row r="32" spans="2:7" ht="15" thickBot="1" x14ac:dyDescent="0.25">
      <c r="B32" s="5" t="s">
        <v>62</v>
      </c>
      <c r="C32" s="6">
        <f>[624]Tasas!$B$36</f>
        <v>0.99263195757864076</v>
      </c>
      <c r="D32" s="6">
        <f>[624]Tasas!$B$17</f>
        <v>1.0106704524638213</v>
      </c>
      <c r="E32" s="6">
        <f>[624]Tasas!$B$28</f>
        <v>0.99535199498642157</v>
      </c>
      <c r="F32" s="6">
        <f>[624]Tasas!$B$31</f>
        <v>0.90732889158086005</v>
      </c>
      <c r="G32" s="6">
        <f>[624]Tasas!$B$35</f>
        <v>0.91469916222391467</v>
      </c>
    </row>
    <row r="33" spans="2:7" ht="15" thickBot="1" x14ac:dyDescent="0.25">
      <c r="B33" s="5" t="s">
        <v>63</v>
      </c>
      <c r="C33" s="6">
        <f>[625]Tasas!$B$36</f>
        <v>0.94980055330373803</v>
      </c>
      <c r="D33" s="6">
        <f>[625]Tasas!$B$17</f>
        <v>0.92473625272587967</v>
      </c>
      <c r="E33" s="6">
        <f>[625]Tasas!$B$28</f>
        <v>0.97240743367853599</v>
      </c>
      <c r="F33" s="6">
        <f>[625]Tasas!$B$31</f>
        <v>0.76344086021505375</v>
      </c>
      <c r="G33" s="6">
        <f>[625]Tasas!$B$35</f>
        <v>0.76904532304725171</v>
      </c>
    </row>
    <row r="34" spans="2:7" ht="15" thickBot="1" x14ac:dyDescent="0.25">
      <c r="B34" s="5" t="s">
        <v>64</v>
      </c>
      <c r="C34" s="6">
        <f>[626]Tasas!$B$36</f>
        <v>0.98724689820580236</v>
      </c>
      <c r="D34" s="6">
        <f>[626]Tasas!$B$17</f>
        <v>0.99262645627488566</v>
      </c>
      <c r="E34" s="6">
        <f>[626]Tasas!$B$28</f>
        <v>0.96643540948025275</v>
      </c>
      <c r="F34" s="6">
        <f>[626]Tasas!$B$31</f>
        <v>0.93434823977164605</v>
      </c>
      <c r="G34" s="6">
        <f>[626]Tasas!$B$35</f>
        <v>1.1635006784260515</v>
      </c>
    </row>
    <row r="35" spans="2:7" ht="15" thickBot="1" x14ac:dyDescent="0.25">
      <c r="B35" s="5" t="s">
        <v>65</v>
      </c>
      <c r="C35" s="6">
        <f>[627]Tasas!$B$36</f>
        <v>0.95159426492617161</v>
      </c>
      <c r="D35" s="6">
        <f>[627]Tasas!$B$17</f>
        <v>0.99808322019008067</v>
      </c>
      <c r="E35" s="6">
        <f>[627]Tasas!$B$28</f>
        <v>0.92920788835746582</v>
      </c>
      <c r="F35" s="6">
        <f>[627]Tasas!$B$31</f>
        <v>1.0901001112347053</v>
      </c>
      <c r="G35" s="6">
        <f>[627]Tasas!$B$35</f>
        <v>0.94324712643678166</v>
      </c>
    </row>
    <row r="36" spans="2:7" ht="15" thickBot="1" x14ac:dyDescent="0.25">
      <c r="B36" s="5" t="s">
        <v>32</v>
      </c>
      <c r="C36" s="6">
        <f>[628]Tasas!$B$36</f>
        <v>0.97501207826860781</v>
      </c>
      <c r="D36" s="6">
        <f>[628]Tasas!$B$17</f>
        <v>0.92629419243237621</v>
      </c>
      <c r="E36" s="6">
        <f>[628]Tasas!$B$28</f>
        <v>1.0013788510840829</v>
      </c>
      <c r="F36" s="6">
        <f>[628]Tasas!$B$31</f>
        <v>0.8860678744577698</v>
      </c>
      <c r="G36" s="6">
        <f>[628]Tasas!$B$35</f>
        <v>0.83693592420105989</v>
      </c>
    </row>
    <row r="37" spans="2:7" ht="15" thickBot="1" x14ac:dyDescent="0.25">
      <c r="B37" s="5" t="s">
        <v>66</v>
      </c>
      <c r="C37" s="6">
        <f>[629]Tasas!$B$36</f>
        <v>0.98496230879633817</v>
      </c>
      <c r="D37" s="6">
        <f>[629]Tasas!$B$17</f>
        <v>0.93066025918418471</v>
      </c>
      <c r="E37" s="6">
        <f>[629]Tasas!$B$28</f>
        <v>1.0026837394953205</v>
      </c>
      <c r="F37" s="6">
        <f>[629]Tasas!$B$31</f>
        <v>1.3401622439158531</v>
      </c>
      <c r="G37" s="6">
        <f>[629]Tasas!$B$35</f>
        <v>0.74957846386417815</v>
      </c>
    </row>
    <row r="38" spans="2:7" ht="15" thickBot="1" x14ac:dyDescent="0.25">
      <c r="B38" s="5" t="s">
        <v>33</v>
      </c>
      <c r="C38" s="6">
        <f>[630]Tasas!$B$36</f>
        <v>0.94875404235783389</v>
      </c>
      <c r="D38" s="6">
        <f>[630]Tasas!$B$17</f>
        <v>0.84851398236007192</v>
      </c>
      <c r="E38" s="6">
        <f>[630]Tasas!$B$28</f>
        <v>0.98090724839180288</v>
      </c>
      <c r="F38" s="6">
        <f>[630]Tasas!$B$31</f>
        <v>1.0109730301427815</v>
      </c>
      <c r="G38" s="6">
        <f>[630]Tasas!$B$35</f>
        <v>0.9610728696890577</v>
      </c>
    </row>
    <row r="39" spans="2:7" ht="15" thickBot="1" x14ac:dyDescent="0.25">
      <c r="B39" s="5" t="s">
        <v>34</v>
      </c>
      <c r="C39" s="6">
        <f>[631]Tasas!$B$36</f>
        <v>0.9954867342223751</v>
      </c>
      <c r="D39" s="6">
        <f>[631]Tasas!$B$17</f>
        <v>1.0397762290807377</v>
      </c>
      <c r="E39" s="6">
        <f>[631]Tasas!$B$28</f>
        <v>0.99583541562552058</v>
      </c>
      <c r="F39" s="6">
        <f>[631]Tasas!$B$31</f>
        <v>0.70983318700614573</v>
      </c>
      <c r="G39" s="6">
        <f>[631]Tasas!$B$35</f>
        <v>0.91162790697674423</v>
      </c>
    </row>
    <row r="40" spans="2:7" ht="15" thickBot="1" x14ac:dyDescent="0.25">
      <c r="B40" s="5" t="s">
        <v>67</v>
      </c>
      <c r="C40" s="6">
        <f>[632]Tasas!$B$36</f>
        <v>1.0086358580240671</v>
      </c>
      <c r="D40" s="6">
        <f>[632]Tasas!$B$17</f>
        <v>1.0418480675255442</v>
      </c>
      <c r="E40" s="6">
        <f>[632]Tasas!$B$28</f>
        <v>1.00414230735333</v>
      </c>
      <c r="F40" s="6">
        <f>[632]Tasas!$B$31</f>
        <v>0.86378737541528239</v>
      </c>
      <c r="G40" s="6">
        <f>[632]Tasas!$B$35</f>
        <v>0.98091133004926112</v>
      </c>
    </row>
    <row r="41" spans="2:7" ht="15" thickBot="1" x14ac:dyDescent="0.25">
      <c r="B41" s="5" t="s">
        <v>31</v>
      </c>
      <c r="C41" s="6">
        <f>[633]Tasas!$B$36</f>
        <v>0.98786059417308525</v>
      </c>
      <c r="D41" s="6">
        <f>[633]Tasas!$B$17</f>
        <v>0.99664851277754507</v>
      </c>
      <c r="E41" s="6">
        <f>[633]Tasas!$B$28</f>
        <v>0.98838741954415565</v>
      </c>
      <c r="F41" s="6">
        <f>[633]Tasas!$B$31</f>
        <v>0.98928024502297085</v>
      </c>
      <c r="G41" s="6">
        <f>[633]Tasas!$B$35</f>
        <v>0.94885993485342024</v>
      </c>
    </row>
    <row r="42" spans="2:7" ht="15" thickBot="1" x14ac:dyDescent="0.25">
      <c r="B42" s="5" t="s">
        <v>68</v>
      </c>
      <c r="C42" s="6">
        <f>[634]Tasas!$B$36</f>
        <v>1.0054743236561419</v>
      </c>
      <c r="D42" s="6">
        <f>[634]Tasas!$B$17</f>
        <v>1.0213371266002844</v>
      </c>
      <c r="E42" s="6">
        <f>[634]Tasas!$B$28</f>
        <v>0.98024308507977798</v>
      </c>
      <c r="F42" s="6">
        <f>[634]Tasas!$B$31</f>
        <v>1.2480252764612954</v>
      </c>
      <c r="G42" s="6">
        <f>[634]Tasas!$B$35</f>
        <v>1.1895664952240999</v>
      </c>
    </row>
    <row r="43" spans="2:7" ht="15" thickBot="1" x14ac:dyDescent="0.25">
      <c r="B43" s="5" t="s">
        <v>69</v>
      </c>
      <c r="C43" s="6">
        <f>[635]Tasas!$B$36</f>
        <v>0.9941732815402804</v>
      </c>
      <c r="D43" s="6">
        <f>[635]Tasas!$B$17</f>
        <v>0.96594985125371868</v>
      </c>
      <c r="E43" s="6">
        <f>[635]Tasas!$B$28</f>
        <v>1.0014660357888909</v>
      </c>
      <c r="F43" s="6">
        <f>[635]Tasas!$B$31</f>
        <v>1.0136195752539243</v>
      </c>
      <c r="G43" s="6">
        <f>[635]Tasas!$B$35</f>
        <v>1.0224391566673445</v>
      </c>
    </row>
    <row r="44" spans="2:7" ht="15" thickBot="1" x14ac:dyDescent="0.25">
      <c r="B44" s="5" t="s">
        <v>70</v>
      </c>
      <c r="C44" s="6">
        <f>[636]Tasas!$B$36</f>
        <v>0.99161615865858543</v>
      </c>
      <c r="D44" s="6">
        <f>[636]Tasas!$B$17</f>
        <v>1.0144226442264423</v>
      </c>
      <c r="E44" s="6">
        <f>[636]Tasas!$B$28</f>
        <v>0.99144964868035979</v>
      </c>
      <c r="F44" s="6">
        <f>[636]Tasas!$B$31</f>
        <v>0.93267402054012938</v>
      </c>
      <c r="G44" s="6">
        <f>[636]Tasas!$B$35</f>
        <v>0.90426311930449355</v>
      </c>
    </row>
    <row r="45" spans="2:7" ht="15" thickBot="1" x14ac:dyDescent="0.25">
      <c r="B45" s="5" t="s">
        <v>71</v>
      </c>
      <c r="C45" s="6">
        <f>[637]Tasas!$B$36</f>
        <v>0.99773470928769192</v>
      </c>
      <c r="D45" s="6">
        <f>[637]Tasas!$B$17</f>
        <v>0.99370972691009507</v>
      </c>
      <c r="E45" s="6">
        <f>[637]Tasas!$B$28</f>
        <v>1.0083717232186704</v>
      </c>
      <c r="F45" s="6">
        <f>[637]Tasas!$B$31</f>
        <v>0.7573333333333333</v>
      </c>
      <c r="G45" s="6">
        <f>[637]Tasas!$B$35</f>
        <v>0.97952961672473871</v>
      </c>
    </row>
    <row r="46" spans="2:7" ht="15" thickBot="1" x14ac:dyDescent="0.25">
      <c r="B46" s="5" t="s">
        <v>72</v>
      </c>
      <c r="C46" s="6">
        <f>[638]Tasas!$B$36</f>
        <v>0.97744856645409872</v>
      </c>
      <c r="D46" s="6">
        <f>[638]Tasas!$B$17</f>
        <v>0.93594306049822062</v>
      </c>
      <c r="E46" s="6">
        <f>[638]Tasas!$B$28</f>
        <v>0.99297545550368915</v>
      </c>
      <c r="F46" s="6">
        <f>[638]Tasas!$B$31</f>
        <v>1.0747967479674796</v>
      </c>
      <c r="G46" s="6">
        <f>[638]Tasas!$B$35</f>
        <v>0.95242548217416712</v>
      </c>
    </row>
    <row r="47" spans="2:7" ht="15" thickBot="1" x14ac:dyDescent="0.25">
      <c r="B47" s="5" t="s">
        <v>5</v>
      </c>
      <c r="C47" s="6">
        <f>[639]Tasas!$B$36</f>
        <v>0.98747517400561824</v>
      </c>
      <c r="D47" s="6">
        <f>[639]Tasas!$B$17</f>
        <v>0.9766302683947341</v>
      </c>
      <c r="E47" s="6">
        <f>[639]Tasas!$B$28</f>
        <v>0.99582733429317971</v>
      </c>
      <c r="F47" s="6">
        <f>[639]Tasas!$B$31</f>
        <v>0.99604156358238494</v>
      </c>
      <c r="G47" s="6">
        <f>[639]Tasas!$B$35</f>
        <v>0.92670157068062831</v>
      </c>
    </row>
    <row r="48" spans="2:7" ht="15" thickBot="1" x14ac:dyDescent="0.25">
      <c r="B48" s="5" t="s">
        <v>73</v>
      </c>
      <c r="C48" s="6">
        <f>[640]Tasas!$B$36</f>
        <v>0.96631878557874762</v>
      </c>
      <c r="D48" s="6">
        <f>[640]Tasas!$B$17</f>
        <v>1.0232598810772997</v>
      </c>
      <c r="E48" s="6">
        <f>[640]Tasas!$B$28</f>
        <v>0.94743444988081793</v>
      </c>
      <c r="F48" s="6">
        <f>[640]Tasas!$B$31</f>
        <v>0.94925373134328361</v>
      </c>
      <c r="G48" s="6">
        <f>[640]Tasas!$B$35</f>
        <v>0.95104895104895104</v>
      </c>
    </row>
    <row r="49" spans="2:7" ht="15" thickBot="1" x14ac:dyDescent="0.25">
      <c r="B49" s="5" t="s">
        <v>74</v>
      </c>
      <c r="C49" s="6">
        <f>[641]Tasas!$B$36</f>
        <v>0.97514535086050491</v>
      </c>
      <c r="D49" s="6">
        <f>[641]Tasas!$B$17</f>
        <v>0.92292051526835861</v>
      </c>
      <c r="E49" s="6">
        <f>[641]Tasas!$B$28</f>
        <v>0.99518052304686777</v>
      </c>
      <c r="F49" s="6">
        <f>[641]Tasas!$B$31</f>
        <v>0.90122783083219649</v>
      </c>
      <c r="G49" s="6">
        <f>[641]Tasas!$B$35</f>
        <v>0.86678726483357449</v>
      </c>
    </row>
    <row r="50" spans="2:7" ht="15" thickBot="1" x14ac:dyDescent="0.25">
      <c r="B50" s="5" t="s">
        <v>75</v>
      </c>
      <c r="C50" s="6">
        <f>[642]Tasas!$B$36</f>
        <v>0.9478931664362128</v>
      </c>
      <c r="D50" s="6">
        <f>[642]Tasas!$B$17</f>
        <v>0.97605999423132395</v>
      </c>
      <c r="E50" s="6">
        <f>[642]Tasas!$B$28</f>
        <v>0.94979486072122654</v>
      </c>
      <c r="F50" s="6">
        <f>[642]Tasas!$B$31</f>
        <v>0.87947269303201503</v>
      </c>
      <c r="G50" s="6">
        <f>[642]Tasas!$B$35</f>
        <v>0.78378378378378377</v>
      </c>
    </row>
    <row r="51" spans="2:7" ht="15" thickBot="1" x14ac:dyDescent="0.25">
      <c r="B51" s="5" t="s">
        <v>76</v>
      </c>
      <c r="C51" s="6">
        <f>[643]Tasas!$B$36</f>
        <v>0.98349009069533089</v>
      </c>
      <c r="D51" s="6">
        <f>[643]Tasas!$B$17</f>
        <v>0.95049504950495045</v>
      </c>
      <c r="E51" s="6">
        <f>[643]Tasas!$B$28</f>
        <v>0.99814893284863626</v>
      </c>
      <c r="F51" s="6">
        <f>[643]Tasas!$B$31</f>
        <v>0.95123674911660783</v>
      </c>
      <c r="G51" s="6">
        <f>[643]Tasas!$B$35</f>
        <v>0.84725822532402795</v>
      </c>
    </row>
    <row r="52" spans="2:7" ht="15" thickBot="1" x14ac:dyDescent="0.25">
      <c r="B52" s="5" t="s">
        <v>77</v>
      </c>
      <c r="C52" s="6">
        <f>[644]Tasas!$B$36</f>
        <v>0.94401942033249964</v>
      </c>
      <c r="D52" s="6">
        <f>[644]Tasas!$B$17</f>
        <v>0.93296985246953179</v>
      </c>
      <c r="E52" s="6">
        <f>[644]Tasas!$B$28</f>
        <v>0.93533106786118836</v>
      </c>
      <c r="F52" s="6">
        <f>[644]Tasas!$B$31</f>
        <v>1.0418410041841004</v>
      </c>
      <c r="G52" s="6">
        <f>[644]Tasas!$B$35</f>
        <v>1.1254752851711027</v>
      </c>
    </row>
    <row r="53" spans="2:7" ht="15" thickBot="1" x14ac:dyDescent="0.25">
      <c r="B53" s="5" t="s">
        <v>78</v>
      </c>
      <c r="C53" s="6">
        <f>[645]Tasas!$B$36</f>
        <v>0.93895661252187801</v>
      </c>
      <c r="D53" s="6">
        <f>[645]Tasas!$B$17</f>
        <v>0.90191652644970655</v>
      </c>
      <c r="E53" s="6">
        <f>[645]Tasas!$B$28</f>
        <v>0.96025493493847924</v>
      </c>
      <c r="F53" s="6">
        <f>[645]Tasas!$B$31</f>
        <v>0.9424805272618334</v>
      </c>
      <c r="G53" s="6">
        <f>[645]Tasas!$B$35</f>
        <v>0.79809425701776981</v>
      </c>
    </row>
    <row r="54" spans="2:7" ht="15" thickBot="1" x14ac:dyDescent="0.25">
      <c r="B54" s="5" t="s">
        <v>79</v>
      </c>
      <c r="C54" s="6">
        <f>[646]Tasas!$B$36</f>
        <v>0.98862048810402159</v>
      </c>
      <c r="D54" s="6">
        <f>[646]Tasas!$B$17</f>
        <v>0.97075801125970973</v>
      </c>
      <c r="E54" s="6">
        <f>[646]Tasas!$B$28</f>
        <v>1.0037332920672379</v>
      </c>
      <c r="F54" s="6">
        <f>[646]Tasas!$B$31</f>
        <v>1.1952255715152742</v>
      </c>
      <c r="G54" s="6">
        <f>[646]Tasas!$B$35</f>
        <v>0.76741445347026394</v>
      </c>
    </row>
    <row r="55" spans="2:7" ht="15" thickBot="1" x14ac:dyDescent="0.25">
      <c r="B55" s="5" t="s">
        <v>80</v>
      </c>
      <c r="C55" s="6">
        <f>[647]Tasas!$B$36</f>
        <v>1.0029494913518688</v>
      </c>
      <c r="D55" s="6">
        <f>[647]Tasas!$B$17</f>
        <v>1.0521397379912665</v>
      </c>
      <c r="E55" s="6">
        <f>[647]Tasas!$B$28</f>
        <v>1.002724932294627</v>
      </c>
      <c r="F55" s="6">
        <f>[647]Tasas!$B$31</f>
        <v>0.77098511244852708</v>
      </c>
      <c r="G55" s="6">
        <f>[647]Tasas!$B$35</f>
        <v>0.90707630319818688</v>
      </c>
    </row>
    <row r="56" spans="2:7" ht="15" thickBot="1" x14ac:dyDescent="0.25">
      <c r="B56" s="5" t="s">
        <v>81</v>
      </c>
      <c r="C56" s="6">
        <f>[648]Tasas!$B$36</f>
        <v>1.0467264711129234</v>
      </c>
      <c r="D56" s="6">
        <f>[648]Tasas!$B$17</f>
        <v>1.0286193082139772</v>
      </c>
      <c r="E56" s="6">
        <f>[648]Tasas!$B$28</f>
        <v>1.0146770845572397</v>
      </c>
      <c r="F56" s="6">
        <f>[648]Tasas!$B$31</f>
        <v>1.7274414620217018</v>
      </c>
      <c r="G56" s="6">
        <f>[648]Tasas!$B$35</f>
        <v>0.96333991068646796</v>
      </c>
    </row>
    <row r="57" spans="2:7" ht="15" thickBot="1" x14ac:dyDescent="0.25">
      <c r="B57" s="5" t="s">
        <v>82</v>
      </c>
      <c r="C57" s="6">
        <f>[649]Tasas!$B$36</f>
        <v>0.99191714195738134</v>
      </c>
      <c r="D57" s="6">
        <f>[649]Tasas!$B$17</f>
        <v>1.0285336078835123</v>
      </c>
      <c r="E57" s="6">
        <f>[649]Tasas!$B$28</f>
        <v>0.98526008652781971</v>
      </c>
      <c r="F57" s="6">
        <f>[649]Tasas!$B$31</f>
        <v>1.0603085553997196</v>
      </c>
      <c r="G57" s="6">
        <f>[649]Tasas!$B$35</f>
        <v>0.8528174936921783</v>
      </c>
    </row>
    <row r="58" spans="2:7" ht="15" thickBot="1" x14ac:dyDescent="0.25">
      <c r="B58" s="5" t="s">
        <v>83</v>
      </c>
      <c r="C58" s="6">
        <f>[650]Tasas!$B$36</f>
        <v>1.0078589940487617</v>
      </c>
      <c r="D58" s="6">
        <f>[650]Tasas!$B$17</f>
        <v>1.0160545248012116</v>
      </c>
      <c r="E58" s="6">
        <f>[650]Tasas!$B$28</f>
        <v>1.0080743214316294</v>
      </c>
      <c r="F58" s="6">
        <f>[650]Tasas!$B$31</f>
        <v>1.016230173367761</v>
      </c>
      <c r="G58" s="6">
        <f>[650]Tasas!$B$35</f>
        <v>0.95866349709455889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1"/>
  <dimension ref="B7:X58"/>
  <sheetViews>
    <sheetView workbookViewId="0"/>
  </sheetViews>
  <sheetFormatPr baseColWidth="10" defaultColWidth="10.710937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24" width="7" style="1" bestFit="1" customWidth="1"/>
    <col min="25" max="16384" width="10.7109375" style="1"/>
  </cols>
  <sheetData>
    <row r="7" spans="2:24" ht="13.5" thickBot="1" x14ac:dyDescent="0.25"/>
    <row r="8" spans="2:24" ht="20.100000000000001" customHeight="1" thickBot="1" x14ac:dyDescent="0.25"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</row>
    <row r="9" spans="2:24" s="7" customFormat="1" ht="20.100000000000001" customHeight="1" thickBot="1" x14ac:dyDescent="0.25">
      <c r="B9" s="5" t="s">
        <v>39</v>
      </c>
      <c r="C9" s="6">
        <f>+'2001'!C9</f>
        <v>1.0258764892636465</v>
      </c>
      <c r="D9" s="6">
        <f>+'2002'!C9</f>
        <v>0.98761076468657694</v>
      </c>
      <c r="E9" s="6">
        <f>+'2003'!C9</f>
        <v>1.0325427314737488</v>
      </c>
      <c r="F9" s="6">
        <f>+'2004'!C9</f>
        <v>1.0087358394859944</v>
      </c>
      <c r="G9" s="6">
        <f>+'2005'!C9</f>
        <v>1.001533238418574</v>
      </c>
      <c r="H9" s="6">
        <f>+'2006'!C9</f>
        <v>0.99452796497897589</v>
      </c>
      <c r="I9" s="6">
        <f>+'2007'!C9</f>
        <v>0.97133534136546185</v>
      </c>
      <c r="J9" s="6">
        <f>+'2008'!C9</f>
        <v>0.9459235516015787</v>
      </c>
      <c r="K9" s="6">
        <f>+'2009'!C9</f>
        <v>0.9714313880126183</v>
      </c>
      <c r="L9" s="6">
        <f>+'2010'!C9</f>
        <v>1.0870766223279928</v>
      </c>
      <c r="M9" s="6">
        <f>+'2011'!C9</f>
        <v>1.0185701410576178</v>
      </c>
      <c r="N9" s="6">
        <f>+'2012'!C9</f>
        <v>0.99222247913732575</v>
      </c>
      <c r="O9" s="6">
        <f>+'2013'!C9</f>
        <v>1.012921299513551</v>
      </c>
      <c r="P9" s="6">
        <f>+'2014'!C9</f>
        <v>1.0143834720829883</v>
      </c>
      <c r="Q9" s="6">
        <f>+'2015'!C9</f>
        <v>1.0387986651835373</v>
      </c>
      <c r="R9" s="6">
        <f>+'2016'!C9</f>
        <v>1.0211778357992458</v>
      </c>
      <c r="S9" s="6">
        <f>+'2017'!C9</f>
        <v>0.93715002896312027</v>
      </c>
      <c r="T9" s="6">
        <f>+'2018'!C9</f>
        <v>1.0279427174292699</v>
      </c>
      <c r="U9" s="6">
        <f>+'2019'!C9</f>
        <v>0.95165719992509834</v>
      </c>
      <c r="V9" s="6">
        <f>+'2020'!C9</f>
        <v>0.92802319631587926</v>
      </c>
      <c r="W9" s="6">
        <f>+'2021'!C9</f>
        <v>0.99105108109610363</v>
      </c>
      <c r="X9" s="6">
        <f>+'2022'!D9</f>
        <v>0.9226756507091235</v>
      </c>
    </row>
    <row r="10" spans="2:24" s="7" customFormat="1" ht="20.100000000000001" customHeight="1" thickBot="1" x14ac:dyDescent="0.25">
      <c r="B10" s="5" t="s">
        <v>40</v>
      </c>
      <c r="C10" s="6">
        <f>+'2001'!C10</f>
        <v>0.99313964970635626</v>
      </c>
      <c r="D10" s="6">
        <f>+'2002'!C10</f>
        <v>1.0250741134671524</v>
      </c>
      <c r="E10" s="6">
        <f>+'2003'!C10</f>
        <v>0.99284212515650472</v>
      </c>
      <c r="F10" s="6">
        <f>+'2004'!C10</f>
        <v>0.99473107500058289</v>
      </c>
      <c r="G10" s="6">
        <f>+'2005'!C10</f>
        <v>0.97595143090058778</v>
      </c>
      <c r="H10" s="6">
        <f>+'2006'!C10</f>
        <v>0.9896207669217435</v>
      </c>
      <c r="I10" s="6">
        <f>+'2007'!C10</f>
        <v>0.97719117903760744</v>
      </c>
      <c r="J10" s="6">
        <f>+'2008'!C10</f>
        <v>0.91923824900011009</v>
      </c>
      <c r="K10" s="6">
        <f>+'2009'!C10</f>
        <v>0.96798959925508177</v>
      </c>
      <c r="L10" s="6">
        <f>+'2010'!C10</f>
        <v>0.98936015158140211</v>
      </c>
      <c r="M10" s="6">
        <f>+'2011'!C10</f>
        <v>0.98521224468290625</v>
      </c>
      <c r="N10" s="6">
        <f>+'2012'!C10</f>
        <v>0.9983162060824885</v>
      </c>
      <c r="O10" s="6">
        <f>+'2013'!C10</f>
        <v>1.0079967009126281</v>
      </c>
      <c r="P10" s="6">
        <f>+'2014'!C10</f>
        <v>1.0120762062688127</v>
      </c>
      <c r="Q10" s="6">
        <f>+'2015'!C10</f>
        <v>1.0415238716930497</v>
      </c>
      <c r="R10" s="6">
        <f>+'2016'!C10</f>
        <v>1.0491076316653893</v>
      </c>
      <c r="S10" s="6">
        <f>+'2017'!C10</f>
        <v>0.97502621557481095</v>
      </c>
      <c r="T10" s="6">
        <f>+'2018'!C10</f>
        <v>0.92494694710828163</v>
      </c>
      <c r="U10" s="6">
        <f>+'2019'!C10</f>
        <v>0.95621067586766795</v>
      </c>
      <c r="V10" s="6">
        <f>+'2020'!C10</f>
        <v>0.93021452571723962</v>
      </c>
      <c r="W10" s="6">
        <f>+'2021'!C10</f>
        <v>1.0124513618677042</v>
      </c>
      <c r="X10" s="6">
        <f>+'2022'!D10</f>
        <v>0.95154926613709301</v>
      </c>
    </row>
    <row r="11" spans="2:24" s="7" customFormat="1" ht="20.100000000000001" customHeight="1" thickBot="1" x14ac:dyDescent="0.25">
      <c r="B11" s="5" t="s">
        <v>41</v>
      </c>
      <c r="C11" s="6">
        <f>+'2001'!C11</f>
        <v>0.98249227277571927</v>
      </c>
      <c r="D11" s="6">
        <f>+'2002'!C11</f>
        <v>0.98054121108963443</v>
      </c>
      <c r="E11" s="6">
        <f>+'2003'!C11</f>
        <v>0.9718564972355348</v>
      </c>
      <c r="F11" s="6">
        <f>+'2004'!C11</f>
        <v>1.0036080869140429</v>
      </c>
      <c r="G11" s="6">
        <f>+'2005'!C11</f>
        <v>0.98174054228662588</v>
      </c>
      <c r="H11" s="6">
        <f>+'2006'!C11</f>
        <v>0.97464668116998132</v>
      </c>
      <c r="I11" s="6">
        <f>+'2007'!C11</f>
        <v>0.97863576029618604</v>
      </c>
      <c r="J11" s="6">
        <f>+'2008'!C11</f>
        <v>0.94130244577381683</v>
      </c>
      <c r="K11" s="6">
        <f>+'2009'!C11</f>
        <v>0.93419038498747242</v>
      </c>
      <c r="L11" s="6">
        <f>+'2010'!C11</f>
        <v>0.9565135639147323</v>
      </c>
      <c r="M11" s="6">
        <f>+'2011'!C11</f>
        <v>1.0300194290918987</v>
      </c>
      <c r="N11" s="6">
        <f>+'2012'!C11</f>
        <v>1.0041358888506939</v>
      </c>
      <c r="O11" s="6">
        <f>+'2013'!C11</f>
        <v>1.0457250297248248</v>
      </c>
      <c r="P11" s="6">
        <f>+'2014'!C11</f>
        <v>1.0464081687210511</v>
      </c>
      <c r="Q11" s="6">
        <f>+'2015'!C11</f>
        <v>1.0758773629979537</v>
      </c>
      <c r="R11" s="6">
        <f>+'2016'!C11</f>
        <v>1.0683501699197717</v>
      </c>
      <c r="S11" s="6">
        <f>+'2017'!C11</f>
        <v>0.99187926899395507</v>
      </c>
      <c r="T11" s="6">
        <f>+'2018'!C11</f>
        <v>0.97415403543529688</v>
      </c>
      <c r="U11" s="6">
        <f>+'2019'!C11</f>
        <v>0.98873581599793769</v>
      </c>
      <c r="V11" s="6">
        <f>+'2020'!C11</f>
        <v>0.96011258274975708</v>
      </c>
      <c r="W11" s="6">
        <f>+'2021'!C11</f>
        <v>1.0277643975195172</v>
      </c>
      <c r="X11" s="6">
        <f>+'2022'!D11</f>
        <v>0.93876337693222356</v>
      </c>
    </row>
    <row r="12" spans="2:24" s="7" customFormat="1" ht="20.100000000000001" customHeight="1" thickBot="1" x14ac:dyDescent="0.25">
      <c r="B12" s="5" t="s">
        <v>42</v>
      </c>
      <c r="C12" s="6">
        <f>+'2001'!C12</f>
        <v>0.95103856035825951</v>
      </c>
      <c r="D12" s="6">
        <f>+'2002'!C12</f>
        <v>1.0160778919230056</v>
      </c>
      <c r="E12" s="6">
        <f>+'2003'!C12</f>
        <v>1.0398710339552493</v>
      </c>
      <c r="F12" s="6">
        <f>+'2004'!C12</f>
        <v>1.0229803012746235</v>
      </c>
      <c r="G12" s="6">
        <f>+'2005'!C12</f>
        <v>0.9723649950968789</v>
      </c>
      <c r="H12" s="6">
        <f>+'2006'!C12</f>
        <v>1.0017910590333057</v>
      </c>
      <c r="I12" s="6">
        <f>+'2007'!C12</f>
        <v>0.99532467532467528</v>
      </c>
      <c r="J12" s="6">
        <f>+'2008'!C12</f>
        <v>0.92354607126391364</v>
      </c>
      <c r="K12" s="6">
        <f>+'2009'!C12</f>
        <v>0.90868092146264634</v>
      </c>
      <c r="L12" s="6">
        <f>+'2010'!C12</f>
        <v>0.96706573778350546</v>
      </c>
      <c r="M12" s="6">
        <f>+'2011'!C12</f>
        <v>0.98126799214399096</v>
      </c>
      <c r="N12" s="6">
        <f>+'2012'!C12</f>
        <v>1.0001444215602553</v>
      </c>
      <c r="O12" s="6">
        <f>+'2013'!C12</f>
        <v>1.045068414083455</v>
      </c>
      <c r="P12" s="6">
        <f>+'2014'!C12</f>
        <v>1.0054988050673603</v>
      </c>
      <c r="Q12" s="6">
        <f>+'2015'!C12</f>
        <v>1.0358928323809107</v>
      </c>
      <c r="R12" s="6">
        <f>+'2016'!C12</f>
        <v>1.0444246561788859</v>
      </c>
      <c r="S12" s="6">
        <f>+'2017'!C12</f>
        <v>0.99810455787710484</v>
      </c>
      <c r="T12" s="6">
        <f>+'2018'!C12</f>
        <v>0.97941806516895058</v>
      </c>
      <c r="U12" s="6">
        <f>+'2019'!C12</f>
        <v>0.98882507982085843</v>
      </c>
      <c r="V12" s="6">
        <f>+'2020'!C12</f>
        <v>0.94248677375338141</v>
      </c>
      <c r="W12" s="6">
        <f>+'2021'!C12</f>
        <v>1.0532173274754693</v>
      </c>
      <c r="X12" s="6">
        <f>+'2022'!D12</f>
        <v>1.0216266811172965</v>
      </c>
    </row>
    <row r="13" spans="2:24" s="7" customFormat="1" ht="20.100000000000001" customHeight="1" thickBot="1" x14ac:dyDescent="0.25">
      <c r="B13" s="5" t="s">
        <v>43</v>
      </c>
      <c r="C13" s="6">
        <f>+'2001'!C13</f>
        <v>1.0098684210526316</v>
      </c>
      <c r="D13" s="6">
        <f>+'2002'!C13</f>
        <v>0.97932164922456189</v>
      </c>
      <c r="E13" s="6">
        <f>+'2003'!C13</f>
        <v>1.0242984056009885</v>
      </c>
      <c r="F13" s="6">
        <f>+'2004'!C13</f>
        <v>1.0039129236704327</v>
      </c>
      <c r="G13" s="6">
        <f>+'2005'!C13</f>
        <v>0.98514572555447422</v>
      </c>
      <c r="H13" s="6">
        <f>+'2006'!C13</f>
        <v>0.96184817833644309</v>
      </c>
      <c r="I13" s="6">
        <f>+'2007'!C13</f>
        <v>0.99248336285727967</v>
      </c>
      <c r="J13" s="6">
        <f>+'2008'!C13</f>
        <v>0.93999724125247142</v>
      </c>
      <c r="K13" s="6">
        <f>+'2009'!C13</f>
        <v>0.95392470217093517</v>
      </c>
      <c r="L13" s="6">
        <f>+'2010'!C13</f>
        <v>0.98760470428970304</v>
      </c>
      <c r="M13" s="6">
        <f>+'2011'!C13</f>
        <v>0.97997424625904717</v>
      </c>
      <c r="N13" s="6">
        <f>+'2012'!C13</f>
        <v>0.97593441466854725</v>
      </c>
      <c r="O13" s="6">
        <f>+'2013'!C13</f>
        <v>0.97639435315899092</v>
      </c>
      <c r="P13" s="6">
        <f>+'2014'!C13</f>
        <v>1.004254356189183</v>
      </c>
      <c r="Q13" s="6">
        <f>+'2015'!C13</f>
        <v>0.9272962916509887</v>
      </c>
      <c r="R13" s="6">
        <f>+'2016'!C13</f>
        <v>1.0767069744717235</v>
      </c>
      <c r="S13" s="6">
        <f>+'2017'!C13</f>
        <v>0.95185209381328806</v>
      </c>
      <c r="T13" s="6">
        <f>+'2018'!C13</f>
        <v>0.93748046264457641</v>
      </c>
      <c r="U13" s="6">
        <f>+'2019'!C13</f>
        <v>0.9242573283494</v>
      </c>
      <c r="V13" s="6">
        <f>+'2020'!C13</f>
        <v>0.91403075452155202</v>
      </c>
      <c r="W13" s="6">
        <f>+'2021'!C13</f>
        <v>1.0079001199125344</v>
      </c>
      <c r="X13" s="6">
        <f>+'2022'!D13</f>
        <v>0.897887323943662</v>
      </c>
    </row>
    <row r="14" spans="2:24" s="7" customFormat="1" ht="20.100000000000001" customHeight="1" thickBot="1" x14ac:dyDescent="0.25">
      <c r="B14" s="5" t="s">
        <v>44</v>
      </c>
      <c r="C14" s="6">
        <f>+'2001'!C14</f>
        <v>0.99648289809197221</v>
      </c>
      <c r="D14" s="6">
        <f>+'2002'!C14</f>
        <v>0.99615724939957018</v>
      </c>
      <c r="E14" s="6">
        <f>+'2003'!C14</f>
        <v>1.0039647301607153</v>
      </c>
      <c r="F14" s="6">
        <f>+'2004'!C14</f>
        <v>1.0052573984204016</v>
      </c>
      <c r="G14" s="6">
        <f>+'2005'!C14</f>
        <v>0.98565533729497357</v>
      </c>
      <c r="H14" s="6">
        <f>+'2006'!C14</f>
        <v>0.98016509229569282</v>
      </c>
      <c r="I14" s="6">
        <f>+'2007'!C14</f>
        <v>0.97988729109988337</v>
      </c>
      <c r="J14" s="6">
        <f>+'2008'!C14</f>
        <v>0.94501318603733619</v>
      </c>
      <c r="K14" s="6">
        <f>+'2009'!C14</f>
        <v>0.96443840056630314</v>
      </c>
      <c r="L14" s="6">
        <f>+'2010'!C14</f>
        <v>0.97213654710227704</v>
      </c>
      <c r="M14" s="6">
        <f>+'2011'!C14</f>
        <v>0.99490958595992773</v>
      </c>
      <c r="N14" s="6">
        <f>+'2012'!C14</f>
        <v>1.0091311622592229</v>
      </c>
      <c r="O14" s="6">
        <f>+'2013'!C14</f>
        <v>1.0113704668403125</v>
      </c>
      <c r="P14" s="6">
        <f>+'2014'!C14</f>
        <v>1.0131768827317151</v>
      </c>
      <c r="Q14" s="6">
        <f>+'2015'!C14</f>
        <v>1.0109838576892214</v>
      </c>
      <c r="R14" s="6">
        <f>+'2016'!C14</f>
        <v>1.0265251200618524</v>
      </c>
      <c r="S14" s="6">
        <f>+'2017'!C14</f>
        <v>0.94005672052251632</v>
      </c>
      <c r="T14" s="6">
        <f>+'2018'!C14</f>
        <v>0.94387747522913978</v>
      </c>
      <c r="U14" s="6">
        <f>+'2019'!C14</f>
        <v>0.95457701227528546</v>
      </c>
      <c r="V14" s="6">
        <f>+'2020'!C14</f>
        <v>0.93842012834610777</v>
      </c>
      <c r="W14" s="6">
        <f>+'2021'!C14</f>
        <v>1.0409082433265917</v>
      </c>
      <c r="X14" s="6">
        <f>+'2022'!D14</f>
        <v>0.94057248604602572</v>
      </c>
    </row>
    <row r="15" spans="2:24" s="7" customFormat="1" ht="20.100000000000001" customHeight="1" thickBot="1" x14ac:dyDescent="0.25">
      <c r="B15" s="5" t="s">
        <v>45</v>
      </c>
      <c r="C15" s="6">
        <f>+'2001'!C15</f>
        <v>0.99344161013223709</v>
      </c>
      <c r="D15" s="6">
        <f>+'2002'!C15</f>
        <v>0.97673522247232591</v>
      </c>
      <c r="E15" s="6">
        <f>+'2003'!C15</f>
        <v>0.99682764740984042</v>
      </c>
      <c r="F15" s="6">
        <f>+'2004'!C15</f>
        <v>1.0025079691245817</v>
      </c>
      <c r="G15" s="6">
        <f>+'2005'!C15</f>
        <v>0.97305864517347518</v>
      </c>
      <c r="H15" s="6">
        <f>+'2006'!C15</f>
        <v>0.94429095586837986</v>
      </c>
      <c r="I15" s="6">
        <f>+'2007'!C15</f>
        <v>0.9878252554230208</v>
      </c>
      <c r="J15" s="6">
        <f>+'2008'!C15</f>
        <v>0.93035289686183109</v>
      </c>
      <c r="K15" s="6">
        <f>+'2009'!C15</f>
        <v>0.95962437933005906</v>
      </c>
      <c r="L15" s="6">
        <f>+'2010'!C15</f>
        <v>0.96102645185326541</v>
      </c>
      <c r="M15" s="6">
        <f>+'2011'!C15</f>
        <v>1.0132725317910503</v>
      </c>
      <c r="N15" s="6">
        <f>+'2012'!C15</f>
        <v>1.0456492901190306</v>
      </c>
      <c r="O15" s="6">
        <f>+'2013'!C15</f>
        <v>1.0475763100962674</v>
      </c>
      <c r="P15" s="6">
        <f>+'2014'!C15</f>
        <v>1.0135301179295249</v>
      </c>
      <c r="Q15" s="6">
        <f>+'2015'!C15</f>
        <v>1.0146994348594858</v>
      </c>
      <c r="R15" s="6">
        <f>+'2016'!C15</f>
        <v>1.0241976566479878</v>
      </c>
      <c r="S15" s="6">
        <f>+'2017'!C15</f>
        <v>0.94926259350424069</v>
      </c>
      <c r="T15" s="6">
        <f>+'2018'!C15</f>
        <v>0.9438238333286787</v>
      </c>
      <c r="U15" s="6">
        <f>+'2019'!C15</f>
        <v>0.93199648404701929</v>
      </c>
      <c r="V15" s="6">
        <f>+'2020'!C15</f>
        <v>0.95487587644494976</v>
      </c>
      <c r="W15" s="6">
        <f>+'2021'!C15</f>
        <v>0.99819883502008466</v>
      </c>
      <c r="X15" s="6">
        <f>+'2022'!D15</f>
        <v>0.91887850980069408</v>
      </c>
    </row>
    <row r="16" spans="2:24" s="7" customFormat="1" ht="20.100000000000001" customHeight="1" thickBot="1" x14ac:dyDescent="0.25">
      <c r="B16" s="5" t="s">
        <v>46</v>
      </c>
      <c r="C16" s="6">
        <f>+'2001'!C16</f>
        <v>1.0083582403495084</v>
      </c>
      <c r="D16" s="6">
        <f>+'2002'!C16</f>
        <v>0.99492747049436081</v>
      </c>
      <c r="E16" s="6">
        <f>+'2003'!C16</f>
        <v>0.9918622177617904</v>
      </c>
      <c r="F16" s="6">
        <f>+'2004'!C16</f>
        <v>1.0088376625143132</v>
      </c>
      <c r="G16" s="6">
        <f>+'2005'!C16</f>
        <v>0.9907530613984411</v>
      </c>
      <c r="H16" s="6">
        <f>+'2006'!C16</f>
        <v>0.97869489052430325</v>
      </c>
      <c r="I16" s="6">
        <f>+'2007'!C16</f>
        <v>1.0029459690344684</v>
      </c>
      <c r="J16" s="6">
        <f>+'2008'!C16</f>
        <v>0.97333177300058205</v>
      </c>
      <c r="K16" s="6">
        <f>+'2009'!C16</f>
        <v>0.97526843789378981</v>
      </c>
      <c r="L16" s="6">
        <f>+'2010'!C16</f>
        <v>1.001304974352347</v>
      </c>
      <c r="M16" s="6">
        <f>+'2011'!C16</f>
        <v>1.0286795775538811</v>
      </c>
      <c r="N16" s="6">
        <f>+'2012'!C16</f>
        <v>1.0163028560552176</v>
      </c>
      <c r="O16" s="6">
        <f>+'2013'!C16</f>
        <v>1.0244076877472215</v>
      </c>
      <c r="P16" s="6">
        <f>+'2014'!C16</f>
        <v>1.0157752197545677</v>
      </c>
      <c r="Q16" s="6">
        <f>+'2015'!C16</f>
        <v>1.0333443932078827</v>
      </c>
      <c r="R16" s="6">
        <f>+'2016'!C16</f>
        <v>1.0137648429356823</v>
      </c>
      <c r="S16" s="6">
        <f>+'2017'!C16</f>
        <v>0.97048671764812444</v>
      </c>
      <c r="T16" s="6">
        <f>+'2018'!C16</f>
        <v>0.95610244004559097</v>
      </c>
      <c r="U16" s="6">
        <f>+'2019'!C16</f>
        <v>0.93902620565682671</v>
      </c>
      <c r="V16" s="6">
        <f>+'2020'!C16</f>
        <v>0.94035989972120915</v>
      </c>
      <c r="W16" s="6">
        <f>+'2021'!C16</f>
        <v>1.0123785736484503</v>
      </c>
      <c r="X16" s="6">
        <f>+'2022'!D16</f>
        <v>0.95052667594005202</v>
      </c>
    </row>
    <row r="17" spans="2:24" s="7" customFormat="1" ht="20.100000000000001" customHeight="1" thickBot="1" x14ac:dyDescent="0.25">
      <c r="B17" s="5" t="s">
        <v>47</v>
      </c>
      <c r="C17" s="6">
        <f>+'2001'!C17</f>
        <v>1.0135481343058654</v>
      </c>
      <c r="D17" s="6">
        <f>+'2002'!C17</f>
        <v>0.97807372373306778</v>
      </c>
      <c r="E17" s="6">
        <f>+'2003'!C17</f>
        <v>1.0073270627945747</v>
      </c>
      <c r="F17" s="6">
        <f>+'2004'!C17</f>
        <v>1.0275924105181684</v>
      </c>
      <c r="G17" s="6">
        <f>+'2005'!C17</f>
        <v>1.0139714082936226</v>
      </c>
      <c r="H17" s="6">
        <f>+'2006'!C17</f>
        <v>0.95968170768763295</v>
      </c>
      <c r="I17" s="6">
        <f>+'2007'!C17</f>
        <v>0.988235922260981</v>
      </c>
      <c r="J17" s="6">
        <f>+'2008'!C17</f>
        <v>0.96940371624525157</v>
      </c>
      <c r="K17" s="6">
        <f>+'2009'!C17</f>
        <v>0.98560632192919184</v>
      </c>
      <c r="L17" s="6">
        <f>+'2010'!C17</f>
        <v>0.97574160189366599</v>
      </c>
      <c r="M17" s="6">
        <f>+'2011'!C17</f>
        <v>0.9808466664291059</v>
      </c>
      <c r="N17" s="6">
        <f>+'2012'!C17</f>
        <v>1.0213010833226768</v>
      </c>
      <c r="O17" s="6">
        <f>+'2013'!C17</f>
        <v>1.0072909378797363</v>
      </c>
      <c r="P17" s="6">
        <f>+'2014'!C17</f>
        <v>1.0232255997721933</v>
      </c>
      <c r="Q17" s="6">
        <f>+'2015'!C17</f>
        <v>1.0301009539686949</v>
      </c>
      <c r="R17" s="6">
        <f>+'2016'!C17</f>
        <v>1.0117750019890206</v>
      </c>
      <c r="S17" s="6">
        <f>+'2017'!C17</f>
        <v>0.93651916476721953</v>
      </c>
      <c r="T17" s="6">
        <f>+'2018'!C17</f>
        <v>0.97202993690771156</v>
      </c>
      <c r="U17" s="6">
        <f>+'2019'!C17</f>
        <v>0.94610347926563099</v>
      </c>
      <c r="V17" s="6">
        <f>+'2020'!C17</f>
        <v>0.94126802337532667</v>
      </c>
      <c r="W17" s="6">
        <f>+'2021'!C17</f>
        <v>0.97779871171423483</v>
      </c>
      <c r="X17" s="6">
        <f>+'2022'!D17</f>
        <v>0.93065015479876156</v>
      </c>
    </row>
    <row r="18" spans="2:24" s="7" customFormat="1" ht="20.100000000000001" customHeight="1" thickBot="1" x14ac:dyDescent="0.25">
      <c r="B18" s="5" t="s">
        <v>48</v>
      </c>
      <c r="C18" s="6">
        <f>+'2001'!C18</f>
        <v>0.97831436065219157</v>
      </c>
      <c r="D18" s="6">
        <f>+'2002'!C18</f>
        <v>0.9686107486644181</v>
      </c>
      <c r="E18" s="6">
        <f>+'2003'!C18</f>
        <v>1.018104576777731</v>
      </c>
      <c r="F18" s="6">
        <f>+'2004'!C18</f>
        <v>0.98528147037865199</v>
      </c>
      <c r="G18" s="6">
        <f>+'2005'!C18</f>
        <v>0.99432424455695056</v>
      </c>
      <c r="H18" s="6">
        <f>+'2006'!C18</f>
        <v>0.98012899863183267</v>
      </c>
      <c r="I18" s="6">
        <f>+'2007'!C18</f>
        <v>0.98275525476670789</v>
      </c>
      <c r="J18" s="6">
        <f>+'2008'!C18</f>
        <v>0.91261837412372404</v>
      </c>
      <c r="K18" s="6">
        <f>+'2009'!C18</f>
        <v>0.98117116117338066</v>
      </c>
      <c r="L18" s="6">
        <f>+'2010'!C18</f>
        <v>0.96438273468155755</v>
      </c>
      <c r="M18" s="6">
        <f>+'2011'!C18</f>
        <v>0.98184380361081613</v>
      </c>
      <c r="N18" s="6">
        <f>+'2012'!C18</f>
        <v>0.9823072163353701</v>
      </c>
      <c r="O18" s="6">
        <f>+'2013'!C18</f>
        <v>0.98497700967179325</v>
      </c>
      <c r="P18" s="6">
        <f>+'2014'!C18</f>
        <v>0.99893817838603116</v>
      </c>
      <c r="Q18" s="6">
        <f>+'2015'!C18</f>
        <v>1.0055954631379962</v>
      </c>
      <c r="R18" s="6">
        <f>+'2016'!C18</f>
        <v>1.0034912450316897</v>
      </c>
      <c r="S18" s="6">
        <f>+'2017'!C18</f>
        <v>0.91540461575575627</v>
      </c>
      <c r="T18" s="6">
        <f>+'2018'!C18</f>
        <v>0.91577586903255337</v>
      </c>
      <c r="U18" s="6">
        <f>+'2019'!C18</f>
        <v>0.99516155045427668</v>
      </c>
      <c r="V18" s="6">
        <f>+'2020'!C18</f>
        <v>1.0061778407940045</v>
      </c>
      <c r="W18" s="6">
        <f>+'2021'!C18</f>
        <v>0.98251851851851857</v>
      </c>
      <c r="X18" s="6">
        <f>+'2022'!D18</f>
        <v>0.94466588511137162</v>
      </c>
    </row>
    <row r="19" spans="2:24" s="7" customFormat="1" ht="20.100000000000001" customHeight="1" thickBot="1" x14ac:dyDescent="0.25">
      <c r="B19" s="5" t="s">
        <v>49</v>
      </c>
      <c r="C19" s="6">
        <f>+'2001'!C19</f>
        <v>0.98751468054046343</v>
      </c>
      <c r="D19" s="6">
        <f>+'2002'!C19</f>
        <v>0.99528545354894671</v>
      </c>
      <c r="E19" s="6">
        <f>+'2003'!C19</f>
        <v>1.0045664915065313</v>
      </c>
      <c r="F19" s="6">
        <f>+'2004'!C19</f>
        <v>1.0305703351068796</v>
      </c>
      <c r="G19" s="6">
        <f>+'2005'!C19</f>
        <v>1.0017764016454045</v>
      </c>
      <c r="H19" s="6">
        <f>+'2006'!C19</f>
        <v>0.99290056145886507</v>
      </c>
      <c r="I19" s="6">
        <f>+'2007'!C19</f>
        <v>0.99860783746157766</v>
      </c>
      <c r="J19" s="6">
        <f>+'2008'!C19</f>
        <v>0.95912617428592672</v>
      </c>
      <c r="K19" s="6">
        <f>+'2009'!C19</f>
        <v>0.9594973390395275</v>
      </c>
      <c r="L19" s="6">
        <f>+'2010'!C19</f>
        <v>0.99028313151631231</v>
      </c>
      <c r="M19" s="6">
        <f>+'2011'!C19</f>
        <v>0.99057356485403836</v>
      </c>
      <c r="N19" s="6">
        <f>+'2012'!C19</f>
        <v>1.0162819455894476</v>
      </c>
      <c r="O19" s="6">
        <f>+'2013'!C19</f>
        <v>1.0222475373584401</v>
      </c>
      <c r="P19" s="6">
        <f>+'2014'!C19</f>
        <v>0.99962797466957198</v>
      </c>
      <c r="Q19" s="6">
        <f>+'2015'!C19</f>
        <v>1.0086983100062403</v>
      </c>
      <c r="R19" s="6">
        <f>+'2016'!C19</f>
        <v>1.0161890865940559</v>
      </c>
      <c r="S19" s="6">
        <f>+'2017'!C19</f>
        <v>0.94745088363198959</v>
      </c>
      <c r="T19" s="6">
        <f>+'2018'!C19</f>
        <v>0.95531544344074104</v>
      </c>
      <c r="U19" s="6">
        <f>+'2019'!C19</f>
        <v>0.95791268081162495</v>
      </c>
      <c r="V19" s="6">
        <f>+'2020'!C19</f>
        <v>0.95576410155092362</v>
      </c>
      <c r="W19" s="6">
        <f>+'2021'!C19</f>
        <v>1.0282537101274634</v>
      </c>
      <c r="X19" s="6">
        <f>+'2022'!D19</f>
        <v>0.97191885526986266</v>
      </c>
    </row>
    <row r="20" spans="2:24" s="7" customFormat="1" ht="20.100000000000001" customHeight="1" thickBot="1" x14ac:dyDescent="0.25">
      <c r="B20" s="5" t="s">
        <v>50</v>
      </c>
      <c r="C20" s="6">
        <f>+'2001'!C20</f>
        <v>0.97941451339951002</v>
      </c>
      <c r="D20" s="6">
        <f>+'2002'!C20</f>
        <v>0.95724654253078323</v>
      </c>
      <c r="E20" s="6">
        <f>+'2003'!C20</f>
        <v>0.96457240339787109</v>
      </c>
      <c r="F20" s="6">
        <f>+'2004'!C20</f>
        <v>0.96588089330024818</v>
      </c>
      <c r="G20" s="6">
        <f>+'2005'!C20</f>
        <v>0.97115773149715512</v>
      </c>
      <c r="H20" s="6">
        <f>+'2006'!C20</f>
        <v>0.96506708441233202</v>
      </c>
      <c r="I20" s="6">
        <f>+'2007'!C20</f>
        <v>0.99336545704056045</v>
      </c>
      <c r="J20" s="6">
        <f>+'2008'!C20</f>
        <v>0.94583096729750615</v>
      </c>
      <c r="K20" s="6">
        <f>+'2009'!C20</f>
        <v>0.90244621023716887</v>
      </c>
      <c r="L20" s="6">
        <f>+'2010'!C20</f>
        <v>0.95913218519346899</v>
      </c>
      <c r="M20" s="6">
        <f>+'2011'!C20</f>
        <v>1.0100649498115093</v>
      </c>
      <c r="N20" s="6">
        <f>+'2012'!C20</f>
        <v>1.0255864770944236</v>
      </c>
      <c r="O20" s="6">
        <f>+'2013'!C20</f>
        <v>1.0271616641355761</v>
      </c>
      <c r="P20" s="6">
        <f>+'2014'!C20</f>
        <v>1.0222831013025633</v>
      </c>
      <c r="Q20" s="6">
        <f>+'2015'!C20</f>
        <v>0.98062293670159317</v>
      </c>
      <c r="R20" s="6">
        <f>+'2016'!C20</f>
        <v>1.1112255881900661</v>
      </c>
      <c r="S20" s="6">
        <f>+'2017'!C20</f>
        <v>1.0044593808569766</v>
      </c>
      <c r="T20" s="6">
        <f>+'2018'!C20</f>
        <v>0.97762707665629311</v>
      </c>
      <c r="U20" s="6">
        <f>+'2019'!C20</f>
        <v>0.96503827171439549</v>
      </c>
      <c r="V20" s="6">
        <f>+'2020'!C20</f>
        <v>0.94345471210732434</v>
      </c>
      <c r="W20" s="6">
        <f>+'2021'!C20</f>
        <v>0.97801019039957093</v>
      </c>
      <c r="X20" s="6">
        <f>+'2022'!D20</f>
        <v>0.94684522580454855</v>
      </c>
    </row>
    <row r="21" spans="2:24" s="7" customFormat="1" ht="20.100000000000001" customHeight="1" thickBot="1" x14ac:dyDescent="0.25">
      <c r="B21" s="5" t="s">
        <v>51</v>
      </c>
      <c r="C21" s="6">
        <f>+'2001'!C21</f>
        <v>1.0360884315699213</v>
      </c>
      <c r="D21" s="6">
        <f>+'2002'!C21</f>
        <v>0.99256803721328124</v>
      </c>
      <c r="E21" s="6">
        <f>+'2003'!C21</f>
        <v>0.96467571433555455</v>
      </c>
      <c r="F21" s="6">
        <f>+'2004'!C21</f>
        <v>0.98319395303956258</v>
      </c>
      <c r="G21" s="6">
        <f>+'2005'!C21</f>
        <v>0.99283049122698819</v>
      </c>
      <c r="H21" s="6">
        <f>+'2006'!C21</f>
        <v>0.94138076830152206</v>
      </c>
      <c r="I21" s="6">
        <f>+'2007'!C21</f>
        <v>0.97393749324105117</v>
      </c>
      <c r="J21" s="6">
        <f>+'2008'!C21</f>
        <v>0.91976094836876654</v>
      </c>
      <c r="K21" s="6">
        <f>+'2009'!C21</f>
        <v>0.91909332601070937</v>
      </c>
      <c r="L21" s="6">
        <f>+'2010'!C21</f>
        <v>0.98365919979282657</v>
      </c>
      <c r="M21" s="6">
        <f>+'2011'!C21</f>
        <v>0.97141561386459341</v>
      </c>
      <c r="N21" s="6">
        <f>+'2012'!C21</f>
        <v>1.0283267281963986</v>
      </c>
      <c r="O21" s="6">
        <f>+'2013'!C21</f>
        <v>1.0266262217728346</v>
      </c>
      <c r="P21" s="6">
        <f>+'2014'!C21</f>
        <v>1.0214151942024265</v>
      </c>
      <c r="Q21" s="6">
        <f>+'2015'!C21</f>
        <v>1.0063614431850345</v>
      </c>
      <c r="R21" s="6">
        <f>+'2016'!C21</f>
        <v>1.0070926009986383</v>
      </c>
      <c r="S21" s="6">
        <f>+'2017'!C21</f>
        <v>0.99882298460232311</v>
      </c>
      <c r="T21" s="6">
        <f>+'2018'!C21</f>
        <v>0.95752813348855259</v>
      </c>
      <c r="U21" s="6">
        <f>+'2019'!C21</f>
        <v>0.96795677541601788</v>
      </c>
      <c r="V21" s="6">
        <f>+'2020'!C21</f>
        <v>0.9461372387544793</v>
      </c>
      <c r="W21" s="6">
        <f>+'2021'!C21</f>
        <v>0.99234831124838097</v>
      </c>
      <c r="X21" s="6">
        <f>+'2022'!D21</f>
        <v>0.9299794057075611</v>
      </c>
    </row>
    <row r="22" spans="2:24" s="7" customFormat="1" ht="15" thickBot="1" x14ac:dyDescent="0.25">
      <c r="B22" s="5" t="s">
        <v>52</v>
      </c>
      <c r="C22" s="6">
        <f>+'2001'!C22</f>
        <v>0.98393923170941122</v>
      </c>
      <c r="D22" s="6">
        <f>+'2002'!C22</f>
        <v>0.98896829187640078</v>
      </c>
      <c r="E22" s="6">
        <f>+'2003'!C22</f>
        <v>1.0019768215333016</v>
      </c>
      <c r="F22" s="6">
        <f>+'2004'!C22</f>
        <v>0.99461229479566893</v>
      </c>
      <c r="G22" s="6">
        <f>+'2005'!C22</f>
        <v>0.97720555488076444</v>
      </c>
      <c r="H22" s="6">
        <f>+'2006'!C22</f>
        <v>0.98898034524554579</v>
      </c>
      <c r="I22" s="6">
        <f>+'2007'!C22</f>
        <v>0.99726695284168765</v>
      </c>
      <c r="J22" s="6">
        <f>+'2008'!C22</f>
        <v>0.96866236823252483</v>
      </c>
      <c r="K22" s="6">
        <f>+'2009'!C22</f>
        <v>0.95689444843753091</v>
      </c>
      <c r="L22" s="6">
        <f>+'2010'!C22</f>
        <v>0.98879077736236443</v>
      </c>
      <c r="M22" s="6">
        <f>+'2011'!C22</f>
        <v>1.0008565069959772</v>
      </c>
      <c r="N22" s="6">
        <f>+'2012'!C22</f>
        <v>0.99858900396191008</v>
      </c>
      <c r="O22" s="6">
        <f>+'2013'!C22</f>
        <v>1.019367991845056</v>
      </c>
      <c r="P22" s="6">
        <f>+'2014'!C22</f>
        <v>0.99703522590846538</v>
      </c>
      <c r="Q22" s="6">
        <f>+'2015'!C22</f>
        <v>1.0168452015435117</v>
      </c>
      <c r="R22" s="6">
        <f>+'2016'!C22</f>
        <v>1.0171098633329803</v>
      </c>
      <c r="S22" s="6">
        <f>+'2017'!C22</f>
        <v>0.98843470226526908</v>
      </c>
      <c r="T22" s="6">
        <f>+'2018'!C22</f>
        <v>0.96829730273113024</v>
      </c>
      <c r="U22" s="6">
        <f>+'2019'!C22</f>
        <v>0.9635227751461658</v>
      </c>
      <c r="V22" s="6">
        <f>+'2020'!C22</f>
        <v>0.95887841757627301</v>
      </c>
      <c r="W22" s="6">
        <f>+'2021'!C22</f>
        <v>1.0407712919665844</v>
      </c>
      <c r="X22" s="6">
        <f>+'2022'!D22</f>
        <v>0.97127263840994871</v>
      </c>
    </row>
    <row r="23" spans="2:24" s="7" customFormat="1" ht="20.100000000000001" customHeight="1" thickBot="1" x14ac:dyDescent="0.25">
      <c r="B23" s="5" t="s">
        <v>53</v>
      </c>
      <c r="C23" s="6">
        <f>+'2001'!C23</f>
        <v>0.98115595075239403</v>
      </c>
      <c r="D23" s="6">
        <f>+'2002'!C23</f>
        <v>0.99648355825888613</v>
      </c>
      <c r="E23" s="6">
        <f>+'2003'!C23</f>
        <v>0.9991116375481196</v>
      </c>
      <c r="F23" s="6">
        <f>+'2004'!C23</f>
        <v>1.0139168418384841</v>
      </c>
      <c r="G23" s="6">
        <f>+'2005'!C23</f>
        <v>0.98658045023613039</v>
      </c>
      <c r="H23" s="6">
        <f>+'2006'!C23</f>
        <v>0.96920043758941132</v>
      </c>
      <c r="I23" s="6">
        <f>+'2007'!C23</f>
        <v>0.98935809158944088</v>
      </c>
      <c r="J23" s="6">
        <f>+'2008'!C23</f>
        <v>0.98824096542161366</v>
      </c>
      <c r="K23" s="6">
        <f>+'2009'!C23</f>
        <v>0.96736923701598321</v>
      </c>
      <c r="L23" s="6">
        <f>+'2010'!C23</f>
        <v>0.9853552836720133</v>
      </c>
      <c r="M23" s="6">
        <f>+'2011'!C23</f>
        <v>1.0027075812274369</v>
      </c>
      <c r="N23" s="6">
        <f>+'2012'!C23</f>
        <v>0.98409493851873031</v>
      </c>
      <c r="O23" s="6">
        <f>+'2013'!C23</f>
        <v>0.98520461267957637</v>
      </c>
      <c r="P23" s="6">
        <f>+'2014'!C23</f>
        <v>1.0004273404205497</v>
      </c>
      <c r="Q23" s="6">
        <f>+'2015'!C23</f>
        <v>1.0020776183278282</v>
      </c>
      <c r="R23" s="6">
        <f>+'2016'!C23</f>
        <v>1.0286752792517853</v>
      </c>
      <c r="S23" s="6">
        <f>+'2017'!C23</f>
        <v>0.993168890312638</v>
      </c>
      <c r="T23" s="6">
        <f>+'2018'!C23</f>
        <v>0.8969046228491846</v>
      </c>
      <c r="U23" s="6">
        <f>+'2019'!C23</f>
        <v>0.97475715324126078</v>
      </c>
      <c r="V23" s="6">
        <f>+'2020'!C23</f>
        <v>0.93518102091297506</v>
      </c>
      <c r="W23" s="6">
        <f>+'2021'!C23</f>
        <v>1.0313353115727002</v>
      </c>
      <c r="X23" s="6">
        <f>+'2022'!D23</f>
        <v>0.898822560724578</v>
      </c>
    </row>
    <row r="24" spans="2:24" s="7" customFormat="1" ht="20.100000000000001" customHeight="1" thickBot="1" x14ac:dyDescent="0.25">
      <c r="B24" s="5" t="s">
        <v>54</v>
      </c>
      <c r="C24" s="6">
        <f>+'2001'!C24</f>
        <v>1.0016485497913554</v>
      </c>
      <c r="D24" s="6">
        <f>+'2002'!C24</f>
        <v>0.94588765337423308</v>
      </c>
      <c r="E24" s="6">
        <f>+'2003'!C24</f>
        <v>0.97807534537224761</v>
      </c>
      <c r="F24" s="6">
        <f>+'2004'!C24</f>
        <v>1.0346259762538936</v>
      </c>
      <c r="G24" s="6">
        <f>+'2005'!C24</f>
        <v>1.0015497201894104</v>
      </c>
      <c r="H24" s="6">
        <f>+'2006'!C24</f>
        <v>0.95526046986721147</v>
      </c>
      <c r="I24" s="6">
        <f>+'2007'!C24</f>
        <v>0.95317944250871078</v>
      </c>
      <c r="J24" s="6">
        <f>+'2008'!C24</f>
        <v>0.92487199684915322</v>
      </c>
      <c r="K24" s="6">
        <f>+'2009'!C24</f>
        <v>0.96940750452644064</v>
      </c>
      <c r="L24" s="6">
        <f>+'2010'!C24</f>
        <v>0.95254494328773187</v>
      </c>
      <c r="M24" s="6">
        <f>+'2011'!C24</f>
        <v>1.0032623234267446</v>
      </c>
      <c r="N24" s="6">
        <f>+'2012'!C24</f>
        <v>1.0170244747247001</v>
      </c>
      <c r="O24" s="6">
        <f>+'2013'!C24</f>
        <v>1.008596596738246</v>
      </c>
      <c r="P24" s="6">
        <f>+'2014'!C24</f>
        <v>1.0085430698333924</v>
      </c>
      <c r="Q24" s="6">
        <f>+'2015'!C24</f>
        <v>0.9573046352957727</v>
      </c>
      <c r="R24" s="6">
        <f>+'2016'!C24</f>
        <v>1.0067922027721024</v>
      </c>
      <c r="S24" s="6">
        <f>+'2017'!C24</f>
        <v>0.95377951508108394</v>
      </c>
      <c r="T24" s="6">
        <f>+'2018'!C24</f>
        <v>0.90502194549351844</v>
      </c>
      <c r="U24" s="6">
        <f>+'2019'!C24</f>
        <v>0.94675472087503865</v>
      </c>
      <c r="V24" s="6">
        <f>+'2020'!C24</f>
        <v>0.86802874621369608</v>
      </c>
      <c r="W24" s="6">
        <f>+'2021'!C24</f>
        <v>0.94972213484324208</v>
      </c>
      <c r="X24" s="6">
        <f>+'2022'!D24</f>
        <v>0.88422011187719529</v>
      </c>
    </row>
    <row r="25" spans="2:24" s="7" customFormat="1" ht="20.100000000000001" customHeight="1" thickBot="1" x14ac:dyDescent="0.25">
      <c r="B25" s="5" t="s">
        <v>55</v>
      </c>
      <c r="C25" s="6">
        <f>+'2001'!C25</f>
        <v>0.98234943781696116</v>
      </c>
      <c r="D25" s="6">
        <f>+'2002'!C25</f>
        <v>1.0145141758085197</v>
      </c>
      <c r="E25" s="6">
        <f>+'2003'!C25</f>
        <v>0.99620910034413068</v>
      </c>
      <c r="F25" s="6">
        <f>+'2004'!C25</f>
        <v>0.99284994300679208</v>
      </c>
      <c r="G25" s="6">
        <f>+'2005'!C25</f>
        <v>0.99072712568466714</v>
      </c>
      <c r="H25" s="6">
        <f>+'2006'!C25</f>
        <v>0.98459119777755943</v>
      </c>
      <c r="I25" s="6">
        <f>+'2007'!C25</f>
        <v>0.99286042890508885</v>
      </c>
      <c r="J25" s="6">
        <f>+'2008'!C25</f>
        <v>0.97553190616461394</v>
      </c>
      <c r="K25" s="6">
        <f>+'2009'!C25</f>
        <v>0.98156234477748039</v>
      </c>
      <c r="L25" s="6">
        <f>+'2010'!C25</f>
        <v>0.99047045618416851</v>
      </c>
      <c r="M25" s="6">
        <f>+'2011'!C25</f>
        <v>1.0184149553588275</v>
      </c>
      <c r="N25" s="6">
        <f>+'2012'!C25</f>
        <v>1.012285050348567</v>
      </c>
      <c r="O25" s="6">
        <f>+'2013'!C25</f>
        <v>1.0294660878917057</v>
      </c>
      <c r="P25" s="6">
        <f>+'2014'!C25</f>
        <v>1.0179378598277584</v>
      </c>
      <c r="Q25" s="6">
        <f>+'2015'!C25</f>
        <v>1.0596279672934579</v>
      </c>
      <c r="R25" s="6">
        <f>+'2016'!C25</f>
        <v>1.0176818052281147</v>
      </c>
      <c r="S25" s="6">
        <f>+'2017'!C25</f>
        <v>0.97560828279411405</v>
      </c>
      <c r="T25" s="6">
        <f>+'2018'!C25</f>
        <v>0.99110682037594411</v>
      </c>
      <c r="U25" s="6">
        <f>+'2019'!C25</f>
        <v>0.97471880135743705</v>
      </c>
      <c r="V25" s="6">
        <f>+'2020'!C25</f>
        <v>0.93510760031006612</v>
      </c>
      <c r="W25" s="6">
        <f>+'2021'!C25</f>
        <v>0.95698319362775763</v>
      </c>
      <c r="X25" s="6">
        <f>+'2022'!D25</f>
        <v>0.91244279610471291</v>
      </c>
    </row>
    <row r="26" spans="2:24" s="7" customFormat="1" ht="20.100000000000001" customHeight="1" thickBot="1" x14ac:dyDescent="0.25">
      <c r="B26" s="5" t="s">
        <v>56</v>
      </c>
      <c r="C26" s="6">
        <f>+'2001'!C26</f>
        <v>0.99081380663947816</v>
      </c>
      <c r="D26" s="6">
        <f>+'2002'!C26</f>
        <v>1.0040348011093803</v>
      </c>
      <c r="E26" s="6">
        <f>+'2003'!C26</f>
        <v>0.99315876857834406</v>
      </c>
      <c r="F26" s="6">
        <f>+'2004'!C26</f>
        <v>1.0195527994615645</v>
      </c>
      <c r="G26" s="6">
        <f>+'2005'!C26</f>
        <v>0.99078228860867312</v>
      </c>
      <c r="H26" s="6">
        <f>+'2006'!C26</f>
        <v>0.99848017358981167</v>
      </c>
      <c r="I26" s="6">
        <f>+'2007'!C26</f>
        <v>1.0045345963567338</v>
      </c>
      <c r="J26" s="6">
        <f>+'2008'!C26</f>
        <v>0.98551272577291238</v>
      </c>
      <c r="K26" s="6">
        <f>+'2009'!C26</f>
        <v>0.97732216825103557</v>
      </c>
      <c r="L26" s="6">
        <f>+'2010'!C26</f>
        <v>0.99553988308182995</v>
      </c>
      <c r="M26" s="6">
        <f>+'2011'!C26</f>
        <v>1.0253214708640204</v>
      </c>
      <c r="N26" s="6">
        <f>+'2012'!C26</f>
        <v>1.0076994487194717</v>
      </c>
      <c r="O26" s="6">
        <f>+'2013'!C26</f>
        <v>1.0164467014225271</v>
      </c>
      <c r="P26" s="6">
        <f>+'2014'!C26</f>
        <v>1.0061917735981718</v>
      </c>
      <c r="Q26" s="6">
        <f>+'2015'!C26</f>
        <v>1.0206709061251507</v>
      </c>
      <c r="R26" s="6">
        <f>+'2016'!C26</f>
        <v>1.0090546829155125</v>
      </c>
      <c r="S26" s="6">
        <f>+'2017'!C26</f>
        <v>0.98391002750071832</v>
      </c>
      <c r="T26" s="6">
        <f>+'2018'!C26</f>
        <v>0.96016697721656652</v>
      </c>
      <c r="U26" s="6">
        <f>+'2019'!C26</f>
        <v>0.99371875304505553</v>
      </c>
      <c r="V26" s="6">
        <f>+'2020'!C26</f>
        <v>0.95897917782715225</v>
      </c>
      <c r="W26" s="6">
        <f>+'2021'!C26</f>
        <v>1.0352896583199895</v>
      </c>
      <c r="X26" s="6">
        <f>+'2022'!D26</f>
        <v>1.0150527746681592</v>
      </c>
    </row>
    <row r="27" spans="2:24" ht="15" thickBot="1" x14ac:dyDescent="0.25">
      <c r="B27" s="5" t="s">
        <v>57</v>
      </c>
      <c r="C27" s="6">
        <f>+'2001'!C27</f>
        <v>1.0285021224984838</v>
      </c>
      <c r="D27" s="6">
        <f>+'2002'!C27</f>
        <v>0.95810319277919975</v>
      </c>
      <c r="E27" s="6">
        <f>+'2003'!C27</f>
        <v>1.0210986424578659</v>
      </c>
      <c r="F27" s="6">
        <f>+'2004'!C27</f>
        <v>0.96863520768578693</v>
      </c>
      <c r="G27" s="6">
        <f>+'2005'!C27</f>
        <v>1.0332205937617438</v>
      </c>
      <c r="H27" s="6">
        <f>+'2006'!C27</f>
        <v>0.97405196168481822</v>
      </c>
      <c r="I27" s="6">
        <f>+'2007'!C27</f>
        <v>0.96271949846313032</v>
      </c>
      <c r="J27" s="6">
        <f>+'2008'!C27</f>
        <v>0.85138746145940392</v>
      </c>
      <c r="K27" s="6">
        <f>+'2009'!C27</f>
        <v>0.95806905459326064</v>
      </c>
      <c r="L27" s="6">
        <f>+'2010'!C27</f>
        <v>0.97182782842624416</v>
      </c>
      <c r="M27" s="6">
        <f>+'2011'!C27</f>
        <v>0.94086386515275666</v>
      </c>
      <c r="N27" s="6">
        <f>+'2012'!C27</f>
        <v>1.1042674253200568</v>
      </c>
      <c r="O27" s="6">
        <f>+'2013'!C27</f>
        <v>1.045732713745207</v>
      </c>
      <c r="P27" s="6">
        <f>+'2014'!C27</f>
        <v>1.0385395537525355</v>
      </c>
      <c r="Q27" s="6">
        <f>+'2015'!C27</f>
        <v>1.0324722453697481</v>
      </c>
      <c r="R27" s="6">
        <f>+'2016'!C27</f>
        <v>1.0051464435146444</v>
      </c>
      <c r="S27" s="6">
        <f>+'2017'!C27</f>
        <v>0.96001636996112139</v>
      </c>
      <c r="T27" s="6">
        <f>+'2018'!C27</f>
        <v>0.9026886113380802</v>
      </c>
      <c r="U27" s="6">
        <f>+'2019'!C27</f>
        <v>0.95433706216761416</v>
      </c>
      <c r="V27" s="6">
        <f>+'2020'!C27</f>
        <v>0.96452229040516924</v>
      </c>
      <c r="W27" s="6">
        <f>+'2021'!C27</f>
        <v>1.0132267842380822</v>
      </c>
      <c r="X27" s="6">
        <f>+'2022'!D27</f>
        <v>0.90979834889700906</v>
      </c>
    </row>
    <row r="28" spans="2:24" ht="15" thickBot="1" x14ac:dyDescent="0.25">
      <c r="B28" s="5" t="s">
        <v>58</v>
      </c>
      <c r="C28" s="6">
        <f>+'2001'!C28</f>
        <v>1.0252125476399883</v>
      </c>
      <c r="D28" s="6">
        <f>+'2002'!C28</f>
        <v>0.9843309493426714</v>
      </c>
      <c r="E28" s="6">
        <f>+'2003'!C28</f>
        <v>1.0107317922092989</v>
      </c>
      <c r="F28" s="6">
        <f>+'2004'!C28</f>
        <v>1.0180065686134514</v>
      </c>
      <c r="G28" s="6">
        <f>+'2005'!C28</f>
        <v>1.0023686659335083</v>
      </c>
      <c r="H28" s="6">
        <f>+'2006'!C28</f>
        <v>0.97033563192873895</v>
      </c>
      <c r="I28" s="6">
        <f>+'2007'!C28</f>
        <v>0.98821164570094666</v>
      </c>
      <c r="J28" s="6">
        <f>+'2008'!C28</f>
        <v>0.97619768791963246</v>
      </c>
      <c r="K28" s="6">
        <f>+'2009'!C28</f>
        <v>0.9607467687888942</v>
      </c>
      <c r="L28" s="6">
        <f>+'2010'!C28</f>
        <v>1.0290986596152092</v>
      </c>
      <c r="M28" s="6">
        <f>+'2011'!C28</f>
        <v>1.027728349379559</v>
      </c>
      <c r="N28" s="6">
        <f>+'2012'!C28</f>
        <v>1.0303563839475443</v>
      </c>
      <c r="O28" s="6">
        <f>+'2013'!C28</f>
        <v>1.005641643781144</v>
      </c>
      <c r="P28" s="6">
        <f>+'2014'!C28</f>
        <v>1.0188057671019113</v>
      </c>
      <c r="Q28" s="6">
        <f>+'2015'!C28</f>
        <v>1.0290877279313266</v>
      </c>
      <c r="R28" s="6">
        <f>+'2016'!C28</f>
        <v>1.0239523223914484</v>
      </c>
      <c r="S28" s="6">
        <f>+'2017'!C28</f>
        <v>0.96766201112191896</v>
      </c>
      <c r="T28" s="6">
        <f>+'2018'!C28</f>
        <v>0.98231813313199068</v>
      </c>
      <c r="U28" s="6">
        <f>+'2019'!C28</f>
        <v>0.97437925296162653</v>
      </c>
      <c r="V28" s="6">
        <f>+'2020'!C28</f>
        <v>0.96564564793950269</v>
      </c>
      <c r="W28" s="6">
        <f>+'2021'!C28</f>
        <v>0.98052521884118382</v>
      </c>
      <c r="X28" s="6">
        <f>+'2022'!D28</f>
        <v>0.90843646364151098</v>
      </c>
    </row>
    <row r="29" spans="2:24" ht="15" thickBot="1" x14ac:dyDescent="0.25">
      <c r="B29" s="5" t="s">
        <v>59</v>
      </c>
      <c r="C29" s="6">
        <f>+'2001'!C29</f>
        <v>1.0227055687794866</v>
      </c>
      <c r="D29" s="6">
        <f>+'2002'!C29</f>
        <v>0.99965620616628625</v>
      </c>
      <c r="E29" s="6">
        <f>+'2003'!C29</f>
        <v>0.99547285026189036</v>
      </c>
      <c r="F29" s="6">
        <f>+'2004'!C29</f>
        <v>0.9902997899560817</v>
      </c>
      <c r="G29" s="6">
        <f>+'2005'!C29</f>
        <v>0.99252833216327352</v>
      </c>
      <c r="H29" s="6">
        <f>+'2006'!C29</f>
        <v>0.96127680610155131</v>
      </c>
      <c r="I29" s="6">
        <f>+'2007'!C29</f>
        <v>0.97308287904921376</v>
      </c>
      <c r="J29" s="6">
        <f>+'2008'!C29</f>
        <v>0.94973832550737958</v>
      </c>
      <c r="K29" s="6">
        <f>+'2009'!C29</f>
        <v>0.97555370900399063</v>
      </c>
      <c r="L29" s="6">
        <f>+'2010'!C29</f>
        <v>0.94821607765601246</v>
      </c>
      <c r="M29" s="6">
        <f>+'2011'!C29</f>
        <v>0.94889660788093055</v>
      </c>
      <c r="N29" s="6">
        <f>+'2012'!C29</f>
        <v>0.9770539580896086</v>
      </c>
      <c r="O29" s="6">
        <f>+'2013'!C29</f>
        <v>1.0380380273575041</v>
      </c>
      <c r="P29" s="6">
        <f>+'2014'!C29</f>
        <v>0.98839439861883749</v>
      </c>
      <c r="Q29" s="6">
        <f>+'2015'!C29</f>
        <v>1.0350120258238744</v>
      </c>
      <c r="R29" s="6">
        <f>+'2016'!C29</f>
        <v>1.0231051577146366</v>
      </c>
      <c r="S29" s="6">
        <f>+'2017'!C29</f>
        <v>0.97407069786285827</v>
      </c>
      <c r="T29" s="6">
        <f>+'2018'!C29</f>
        <v>0.94715435085948396</v>
      </c>
      <c r="U29" s="6">
        <f>+'2019'!C29</f>
        <v>0.95905476369092268</v>
      </c>
      <c r="V29" s="6">
        <f>+'2020'!C29</f>
        <v>0.94332947936979072</v>
      </c>
      <c r="W29" s="6">
        <f>+'2021'!C29</f>
        <v>1.0269841025087505</v>
      </c>
      <c r="X29" s="6">
        <f>+'2022'!D29</f>
        <v>0.99400981524249421</v>
      </c>
    </row>
    <row r="30" spans="2:24" ht="15" thickBot="1" x14ac:dyDescent="0.25">
      <c r="B30" s="5" t="s">
        <v>60</v>
      </c>
      <c r="C30" s="6">
        <f>+'2001'!C30</f>
        <v>0.99424497071555895</v>
      </c>
      <c r="D30" s="6">
        <f>+'2002'!C30</f>
        <v>0.9783721970864615</v>
      </c>
      <c r="E30" s="6">
        <f>+'2003'!C30</f>
        <v>1.0054246165357277</v>
      </c>
      <c r="F30" s="6">
        <f>+'2004'!C30</f>
        <v>0.98476155505576723</v>
      </c>
      <c r="G30" s="6">
        <f>+'2005'!C30</f>
        <v>0.93235332951894723</v>
      </c>
      <c r="H30" s="6">
        <f>+'2006'!C30</f>
        <v>0.9167014091553406</v>
      </c>
      <c r="I30" s="6">
        <f>+'2007'!C30</f>
        <v>0.97324947589098532</v>
      </c>
      <c r="J30" s="6">
        <f>+'2008'!C30</f>
        <v>0.95708333333333329</v>
      </c>
      <c r="K30" s="6">
        <f>+'2009'!C30</f>
        <v>0.94803326871365146</v>
      </c>
      <c r="L30" s="6">
        <f>+'2010'!C30</f>
        <v>0.98565146213847787</v>
      </c>
      <c r="M30" s="6">
        <f>+'2011'!C30</f>
        <v>1.0198303014720063</v>
      </c>
      <c r="N30" s="6">
        <f>+'2012'!C30</f>
        <v>1.010548523206751</v>
      </c>
      <c r="O30" s="6">
        <f>+'2013'!C30</f>
        <v>1.0139985642498206</v>
      </c>
      <c r="P30" s="6">
        <f>+'2014'!C30</f>
        <v>1.0053551020408162</v>
      </c>
      <c r="Q30" s="6">
        <f>+'2015'!C30</f>
        <v>1.0362385321100918</v>
      </c>
      <c r="R30" s="6">
        <f>+'2016'!C30</f>
        <v>1.0287297652034417</v>
      </c>
      <c r="S30" s="6">
        <f>+'2017'!C30</f>
        <v>0.96150252289291727</v>
      </c>
      <c r="T30" s="6">
        <f>+'2018'!C30</f>
        <v>0.94565111522353174</v>
      </c>
      <c r="U30" s="6">
        <f>+'2019'!C30</f>
        <v>0.96794842485483057</v>
      </c>
      <c r="V30" s="6">
        <f>+'2020'!C30</f>
        <v>0.97846589122917327</v>
      </c>
      <c r="W30" s="6">
        <f>+'2021'!C30</f>
        <v>1.0381873727087576</v>
      </c>
      <c r="X30" s="6">
        <f>+'2022'!D30</f>
        <v>0.96172603901611531</v>
      </c>
    </row>
    <row r="31" spans="2:24" ht="15" thickBot="1" x14ac:dyDescent="0.25">
      <c r="B31" s="5" t="s">
        <v>61</v>
      </c>
      <c r="C31" s="6">
        <f>+'2001'!C31</f>
        <v>1.0220896580237435</v>
      </c>
      <c r="D31" s="6">
        <f>+'2002'!C31</f>
        <v>1.0283168093099455</v>
      </c>
      <c r="E31" s="6">
        <f>+'2003'!C31</f>
        <v>1.0118667339161622</v>
      </c>
      <c r="F31" s="6">
        <f>+'2004'!C31</f>
        <v>0.99585760157911563</v>
      </c>
      <c r="G31" s="6">
        <f>+'2005'!C31</f>
        <v>0.98068858676780901</v>
      </c>
      <c r="H31" s="6">
        <f>+'2006'!C31</f>
        <v>0.97999532198298678</v>
      </c>
      <c r="I31" s="6">
        <f>+'2007'!C31</f>
        <v>1.0092653871608206</v>
      </c>
      <c r="J31" s="6">
        <f>+'2008'!C31</f>
        <v>0.97397491928930668</v>
      </c>
      <c r="K31" s="6">
        <f>+'2009'!C31</f>
        <v>0.97401075346197741</v>
      </c>
      <c r="L31" s="6">
        <f>+'2010'!C31</f>
        <v>0.98729496722371868</v>
      </c>
      <c r="M31" s="6">
        <f>+'2011'!C31</f>
        <v>1.0064475662512797</v>
      </c>
      <c r="N31" s="6">
        <f>+'2012'!C31</f>
        <v>1.0092402266833158</v>
      </c>
      <c r="O31" s="6">
        <f>+'2013'!C31</f>
        <v>1.0192774055653746</v>
      </c>
      <c r="P31" s="6">
        <f>+'2014'!C31</f>
        <v>0.99760811618879663</v>
      </c>
      <c r="Q31" s="6">
        <f>+'2015'!C31</f>
        <v>1.0138472046861093</v>
      </c>
      <c r="R31" s="6">
        <f>+'2016'!C31</f>
        <v>1.0175038757635586</v>
      </c>
      <c r="S31" s="6">
        <f>+'2017'!C31</f>
        <v>0.97893188290391808</v>
      </c>
      <c r="T31" s="6">
        <f>+'2018'!C31</f>
        <v>0.96329646667319169</v>
      </c>
      <c r="U31" s="6">
        <f>+'2019'!C31</f>
        <v>0.98671530540435737</v>
      </c>
      <c r="V31" s="6">
        <f>+'2020'!C31</f>
        <v>0.9708348939080591</v>
      </c>
      <c r="W31" s="6">
        <f>+'2021'!C31</f>
        <v>1.0520199225235196</v>
      </c>
      <c r="X31" s="6">
        <f>+'2022'!D31</f>
        <v>1.0078316201664219</v>
      </c>
    </row>
    <row r="32" spans="2:24" ht="15" thickBot="1" x14ac:dyDescent="0.25">
      <c r="B32" s="5" t="s">
        <v>62</v>
      </c>
      <c r="C32" s="6">
        <f>+'2001'!C32</f>
        <v>1.0056666666666667</v>
      </c>
      <c r="D32" s="6">
        <f>+'2002'!C32</f>
        <v>0.95226026688734866</v>
      </c>
      <c r="E32" s="6">
        <f>+'2003'!C32</f>
        <v>0.9864850203809612</v>
      </c>
      <c r="F32" s="6">
        <f>+'2004'!C32</f>
        <v>1.000652103032279</v>
      </c>
      <c r="G32" s="6">
        <f>+'2005'!C32</f>
        <v>0.98889392234513596</v>
      </c>
      <c r="H32" s="6">
        <f>+'2006'!C32</f>
        <v>0.98547340033640551</v>
      </c>
      <c r="I32" s="6">
        <f>+'2007'!C32</f>
        <v>0.96143972337192851</v>
      </c>
      <c r="J32" s="6">
        <f>+'2008'!C32</f>
        <v>0.95133457635178253</v>
      </c>
      <c r="K32" s="6">
        <f>+'2009'!C32</f>
        <v>0.95759244961222445</v>
      </c>
      <c r="L32" s="6">
        <f>+'2010'!C32</f>
        <v>0.99263195757864076</v>
      </c>
      <c r="M32" s="6">
        <f>+'2011'!C32</f>
        <v>0.99070347919107538</v>
      </c>
      <c r="N32" s="6">
        <f>+'2012'!C32</f>
        <v>0.98665535621589451</v>
      </c>
      <c r="O32" s="6">
        <f>+'2013'!C32</f>
        <v>1.0183798140770253</v>
      </c>
      <c r="P32" s="6">
        <f>+'2014'!C32</f>
        <v>1.0339862956376189</v>
      </c>
      <c r="Q32" s="6">
        <f>+'2015'!C32</f>
        <v>1.0081361549536823</v>
      </c>
      <c r="R32" s="6">
        <f>+'2016'!C32</f>
        <v>1.0350833445226633</v>
      </c>
      <c r="S32" s="6">
        <f>+'2017'!C32</f>
        <v>0.98115281283074163</v>
      </c>
      <c r="T32" s="6">
        <f>+'2018'!C32</f>
        <v>0.9632191260544517</v>
      </c>
      <c r="U32" s="6">
        <f>+'2019'!C32</f>
        <v>1.0187077061502989</v>
      </c>
      <c r="V32" s="6">
        <f>+'2020'!C32</f>
        <v>0.96712245253440166</v>
      </c>
      <c r="W32" s="6">
        <f>+'2021'!C32</f>
        <v>0.98248128979409466</v>
      </c>
      <c r="X32" s="6">
        <f>+'2022'!D32</f>
        <v>0.96431175409647341</v>
      </c>
    </row>
    <row r="33" spans="2:24" ht="15" thickBot="1" x14ac:dyDescent="0.25">
      <c r="B33" s="5" t="s">
        <v>63</v>
      </c>
      <c r="C33" s="6">
        <f>+'2001'!C33</f>
        <v>0.98316170000237824</v>
      </c>
      <c r="D33" s="6">
        <f>+'2002'!C33</f>
        <v>1.0025366714459027</v>
      </c>
      <c r="E33" s="6">
        <f>+'2003'!C33</f>
        <v>0.98416909122026353</v>
      </c>
      <c r="F33" s="6">
        <f>+'2004'!C33</f>
        <v>1.0011406055578598</v>
      </c>
      <c r="G33" s="6">
        <f>+'2005'!C33</f>
        <v>0.99267938490918861</v>
      </c>
      <c r="H33" s="6">
        <f>+'2006'!C33</f>
        <v>0.97267705855758457</v>
      </c>
      <c r="I33" s="6">
        <f>+'2007'!C33</f>
        <v>0.9460533571659473</v>
      </c>
      <c r="J33" s="6">
        <f>+'2008'!C33</f>
        <v>0.96504477465868499</v>
      </c>
      <c r="K33" s="6">
        <f>+'2009'!C33</f>
        <v>0.94044584006964305</v>
      </c>
      <c r="L33" s="6">
        <f>+'2010'!C33</f>
        <v>0.94980055330373803</v>
      </c>
      <c r="M33" s="6">
        <f>+'2011'!C33</f>
        <v>1.005172502091193</v>
      </c>
      <c r="N33" s="6">
        <f>+'2012'!C33</f>
        <v>1.0168921716377126</v>
      </c>
      <c r="O33" s="6">
        <f>+'2013'!C33</f>
        <v>1.023221706184307</v>
      </c>
      <c r="P33" s="6">
        <f>+'2014'!C33</f>
        <v>1.0022874695684851</v>
      </c>
      <c r="Q33" s="6">
        <f>+'2015'!C33</f>
        <v>1.0687819110138586</v>
      </c>
      <c r="R33" s="6">
        <f>+'2016'!C33</f>
        <v>1.0565406574612037</v>
      </c>
      <c r="S33" s="6">
        <f>+'2017'!C33</f>
        <v>0.96967146086872869</v>
      </c>
      <c r="T33" s="6">
        <f>+'2018'!C33</f>
        <v>0.95299098427183193</v>
      </c>
      <c r="U33" s="6">
        <f>+'2019'!C33</f>
        <v>0.93657609878693127</v>
      </c>
      <c r="V33" s="6">
        <f>+'2020'!C33</f>
        <v>0.93008903969211854</v>
      </c>
      <c r="W33" s="6">
        <f>+'2021'!C33</f>
        <v>1.0147964753587024</v>
      </c>
      <c r="X33" s="6">
        <f>+'2022'!D33</f>
        <v>0.8851407062197526</v>
      </c>
    </row>
    <row r="34" spans="2:24" ht="15" thickBot="1" x14ac:dyDescent="0.25">
      <c r="B34" s="5" t="s">
        <v>64</v>
      </c>
      <c r="C34" s="6">
        <f>+'2001'!C34</f>
        <v>1.0035135799866484</v>
      </c>
      <c r="D34" s="6">
        <f>+'2002'!C34</f>
        <v>0.97177922163155472</v>
      </c>
      <c r="E34" s="6">
        <f>+'2003'!C34</f>
        <v>1.0289737425458179</v>
      </c>
      <c r="F34" s="6">
        <f>+'2004'!C34</f>
        <v>0.95135087148225961</v>
      </c>
      <c r="G34" s="6">
        <f>+'2005'!C34</f>
        <v>0.96826288442634456</v>
      </c>
      <c r="H34" s="6">
        <f>+'2006'!C34</f>
        <v>0.97227496091132459</v>
      </c>
      <c r="I34" s="6">
        <f>+'2007'!C34</f>
        <v>0.98224820192333595</v>
      </c>
      <c r="J34" s="6">
        <f>+'2008'!C34</f>
        <v>0.90484802114488416</v>
      </c>
      <c r="K34" s="6">
        <f>+'2009'!C34</f>
        <v>1.0081378858950583</v>
      </c>
      <c r="L34" s="6">
        <f>+'2010'!C34</f>
        <v>0.98724689820580236</v>
      </c>
      <c r="M34" s="6">
        <f>+'2011'!C34</f>
        <v>1.0022519178421183</v>
      </c>
      <c r="N34" s="6">
        <f>+'2012'!C34</f>
        <v>0.99725977819714084</v>
      </c>
      <c r="O34" s="6">
        <f>+'2013'!C34</f>
        <v>0.99335860826544053</v>
      </c>
      <c r="P34" s="6">
        <f>+'2014'!C34</f>
        <v>0.97404543386937092</v>
      </c>
      <c r="Q34" s="6">
        <f>+'2015'!C34</f>
        <v>0.99667611440350423</v>
      </c>
      <c r="R34" s="6">
        <f>+'2016'!C34</f>
        <v>1.0772294841054992</v>
      </c>
      <c r="S34" s="6">
        <f>+'2017'!C34</f>
        <v>0.96846174455544076</v>
      </c>
      <c r="T34" s="6">
        <f>+'2018'!C34</f>
        <v>0.98549601417183352</v>
      </c>
      <c r="U34" s="6">
        <f>+'2019'!C34</f>
        <v>0.97792695829836918</v>
      </c>
      <c r="V34" s="6">
        <f>+'2020'!C34</f>
        <v>0.96505862910206974</v>
      </c>
      <c r="W34" s="6">
        <f>+'2021'!C34</f>
        <v>0.99868194261380916</v>
      </c>
      <c r="X34" s="6">
        <f>+'2022'!D34</f>
        <v>0.88378415114856601</v>
      </c>
    </row>
    <row r="35" spans="2:24" ht="15" thickBot="1" x14ac:dyDescent="0.25">
      <c r="B35" s="5" t="s">
        <v>65</v>
      </c>
      <c r="C35" s="6">
        <f>+'2001'!C35</f>
        <v>1.0531714331362838</v>
      </c>
      <c r="D35" s="6">
        <f>+'2002'!C35</f>
        <v>1.0105299598996047</v>
      </c>
      <c r="E35" s="6">
        <f>+'2003'!C35</f>
        <v>1.0291102461487858</v>
      </c>
      <c r="F35" s="6">
        <f>+'2004'!C35</f>
        <v>1.031115649183147</v>
      </c>
      <c r="G35" s="6">
        <f>+'2005'!C35</f>
        <v>1.0149313318428617</v>
      </c>
      <c r="H35" s="6">
        <f>+'2006'!C35</f>
        <v>0.98672509343987624</v>
      </c>
      <c r="I35" s="6">
        <f>+'2007'!C35</f>
        <v>0.97260913356425183</v>
      </c>
      <c r="J35" s="6">
        <f>+'2008'!C35</f>
        <v>0.95411576206689364</v>
      </c>
      <c r="K35" s="6">
        <f>+'2009'!C35</f>
        <v>0.98001950328858645</v>
      </c>
      <c r="L35" s="6">
        <f>+'2010'!C35</f>
        <v>0.95159426492617161</v>
      </c>
      <c r="M35" s="6">
        <f>+'2011'!C35</f>
        <v>0.95458505772162927</v>
      </c>
      <c r="N35" s="6">
        <f>+'2012'!C35</f>
        <v>0.93608577442553942</v>
      </c>
      <c r="O35" s="6">
        <f>+'2013'!C35</f>
        <v>0.98596930786094583</v>
      </c>
      <c r="P35" s="6">
        <f>+'2014'!C35</f>
        <v>0.99707216494845363</v>
      </c>
      <c r="Q35" s="6">
        <f>+'2015'!C35</f>
        <v>1.0267107438016529</v>
      </c>
      <c r="R35" s="6">
        <f>+'2016'!C35</f>
        <v>0.99326062639821033</v>
      </c>
      <c r="S35" s="6">
        <f>+'2017'!C35</f>
        <v>0.97559890891840606</v>
      </c>
      <c r="T35" s="6">
        <f>+'2018'!C35</f>
        <v>0.92119133011071264</v>
      </c>
      <c r="U35" s="6">
        <f>+'2019'!C35</f>
        <v>0.97444252401326037</v>
      </c>
      <c r="V35" s="6">
        <f>+'2020'!C35</f>
        <v>0.96273428195323763</v>
      </c>
      <c r="W35" s="6">
        <f>+'2021'!C35</f>
        <v>1.0287281491536693</v>
      </c>
      <c r="X35" s="6">
        <f>+'2022'!D35</f>
        <v>0.94310052967837055</v>
      </c>
    </row>
    <row r="36" spans="2:24" ht="15" thickBot="1" x14ac:dyDescent="0.25">
      <c r="B36" s="5" t="s">
        <v>32</v>
      </c>
      <c r="C36" s="6">
        <f>+'2001'!C36</f>
        <v>1.0047769601413759</v>
      </c>
      <c r="D36" s="6">
        <f>+'2002'!C36</f>
        <v>0.99545661476827829</v>
      </c>
      <c r="E36" s="6">
        <f>+'2003'!C36</f>
        <v>0.98588498364422361</v>
      </c>
      <c r="F36" s="6">
        <f>+'2004'!C36</f>
        <v>0.99456298450785974</v>
      </c>
      <c r="G36" s="6">
        <f>+'2005'!C36</f>
        <v>0.97729716717564497</v>
      </c>
      <c r="H36" s="6">
        <f>+'2006'!C36</f>
        <v>0.97254647386604443</v>
      </c>
      <c r="I36" s="6">
        <f>+'2007'!C36</f>
        <v>0.97828890612681896</v>
      </c>
      <c r="J36" s="6">
        <f>+'2008'!C36</f>
        <v>0.96244530711461018</v>
      </c>
      <c r="K36" s="6">
        <f>+'2009'!C36</f>
        <v>0.95620196130400215</v>
      </c>
      <c r="L36" s="6">
        <f>+'2010'!C36</f>
        <v>0.97501207826860781</v>
      </c>
      <c r="M36" s="6">
        <f>+'2011'!C36</f>
        <v>1.0066647643297189</v>
      </c>
      <c r="N36" s="6">
        <f>+'2012'!C36</f>
        <v>1.0248568299865339</v>
      </c>
      <c r="O36" s="6">
        <f>+'2013'!C36</f>
        <v>1.0348649968232706</v>
      </c>
      <c r="P36" s="6">
        <f>+'2014'!C36</f>
        <v>1.0203244852052691</v>
      </c>
      <c r="Q36" s="6">
        <f>+'2015'!C36</f>
        <v>1.0090820985899343</v>
      </c>
      <c r="R36" s="6">
        <f>+'2016'!C36</f>
        <v>1.0697524332779096</v>
      </c>
      <c r="S36" s="6">
        <f>+'2017'!C36</f>
        <v>1.0073413309267438</v>
      </c>
      <c r="T36" s="6">
        <f>+'2018'!C36</f>
        <v>0.98499329468738783</v>
      </c>
      <c r="U36" s="6">
        <f>+'2019'!C36</f>
        <v>0.96645380982635232</v>
      </c>
      <c r="V36" s="6">
        <f>+'2020'!C36</f>
        <v>0.89902674354103984</v>
      </c>
      <c r="W36" s="6">
        <f>+'2021'!C36</f>
        <v>0.9921774592751037</v>
      </c>
      <c r="X36" s="6">
        <f>+'2022'!D36</f>
        <v>0.92857482421376991</v>
      </c>
    </row>
    <row r="37" spans="2:24" ht="15" thickBot="1" x14ac:dyDescent="0.25">
      <c r="B37" s="5" t="s">
        <v>66</v>
      </c>
      <c r="C37" s="6">
        <f>+'2001'!C37</f>
        <v>0.98961743549784553</v>
      </c>
      <c r="D37" s="6">
        <f>+'2002'!C37</f>
        <v>0.98792856340313118</v>
      </c>
      <c r="E37" s="6">
        <f>+'2003'!C37</f>
        <v>0.99866018736110074</v>
      </c>
      <c r="F37" s="6">
        <f>+'2004'!C37</f>
        <v>0.99605583573309098</v>
      </c>
      <c r="G37" s="6">
        <f>+'2005'!C37</f>
        <v>0.97866031061238701</v>
      </c>
      <c r="H37" s="6">
        <f>+'2006'!C37</f>
        <v>0.99225464615355663</v>
      </c>
      <c r="I37" s="6">
        <f>+'2007'!C37</f>
        <v>1.0042359976099859</v>
      </c>
      <c r="J37" s="6">
        <f>+'2008'!C37</f>
        <v>0.96813441732551186</v>
      </c>
      <c r="K37" s="6">
        <f>+'2009'!C37</f>
        <v>0.97333006837415592</v>
      </c>
      <c r="L37" s="6">
        <f>+'2010'!C37</f>
        <v>0.98496230879633817</v>
      </c>
      <c r="M37" s="6">
        <f>+'2011'!C37</f>
        <v>1.0063358157746467</v>
      </c>
      <c r="N37" s="6">
        <f>+'2012'!C37</f>
        <v>1.010817893053706</v>
      </c>
      <c r="O37" s="6">
        <f>+'2013'!C37</f>
        <v>1.0344965813688567</v>
      </c>
      <c r="P37" s="6">
        <f>+'2014'!C37</f>
        <v>1.0043398083214383</v>
      </c>
      <c r="Q37" s="6">
        <f>+'2015'!C37</f>
        <v>1.0164333014561266</v>
      </c>
      <c r="R37" s="6">
        <f>+'2016'!C37</f>
        <v>1.0262618891943345</v>
      </c>
      <c r="S37" s="6">
        <f>+'2017'!C37</f>
        <v>0.99100087249158664</v>
      </c>
      <c r="T37" s="6">
        <f>+'2018'!C37</f>
        <v>0.98816017433204295</v>
      </c>
      <c r="U37" s="6">
        <f>+'2019'!C37</f>
        <v>0.9867016599250531</v>
      </c>
      <c r="V37" s="6">
        <f>+'2020'!C37</f>
        <v>0.9526458379182382</v>
      </c>
      <c r="W37" s="6">
        <f>+'2021'!C37</f>
        <v>1.019817454989931</v>
      </c>
      <c r="X37" s="6">
        <f>+'2022'!D37</f>
        <v>0.98153064758166919</v>
      </c>
    </row>
    <row r="38" spans="2:24" ht="15" thickBot="1" x14ac:dyDescent="0.25">
      <c r="B38" s="5" t="s">
        <v>33</v>
      </c>
      <c r="C38" s="6">
        <f>+'2001'!C38</f>
        <v>0.97430910887474909</v>
      </c>
      <c r="D38" s="6">
        <f>+'2002'!C38</f>
        <v>0.97213366395087963</v>
      </c>
      <c r="E38" s="6">
        <f>+'2003'!C38</f>
        <v>0.97678136033912366</v>
      </c>
      <c r="F38" s="6">
        <f>+'2004'!C38</f>
        <v>0.97305695590540831</v>
      </c>
      <c r="G38" s="6">
        <f>+'2005'!C38</f>
        <v>0.98980776673977555</v>
      </c>
      <c r="H38" s="6">
        <f>+'2006'!C38</f>
        <v>0.96556220834842643</v>
      </c>
      <c r="I38" s="6">
        <f>+'2007'!C38</f>
        <v>0.99327001290959638</v>
      </c>
      <c r="J38" s="6">
        <f>+'2008'!C38</f>
        <v>0.90437815511702613</v>
      </c>
      <c r="K38" s="6">
        <f>+'2009'!C38</f>
        <v>0.94315863452445126</v>
      </c>
      <c r="L38" s="6">
        <f>+'2010'!C38</f>
        <v>0.94875404235783389</v>
      </c>
      <c r="M38" s="6">
        <f>+'2011'!C38</f>
        <v>1.0049281270644259</v>
      </c>
      <c r="N38" s="6">
        <f>+'2012'!C38</f>
        <v>1.01969758455811</v>
      </c>
      <c r="O38" s="6">
        <f>+'2013'!C38</f>
        <v>1.0335320830973873</v>
      </c>
      <c r="P38" s="6">
        <f>+'2014'!C38</f>
        <v>1.0338111323034813</v>
      </c>
      <c r="Q38" s="6">
        <f>+'2015'!C38</f>
        <v>1.0120657502643469</v>
      </c>
      <c r="R38" s="6">
        <f>+'2016'!C38</f>
        <v>1.0394297320434416</v>
      </c>
      <c r="S38" s="6">
        <f>+'2017'!C38</f>
        <v>0.97978721614330666</v>
      </c>
      <c r="T38" s="6">
        <f>+'2018'!C38</f>
        <v>0.96762501165258308</v>
      </c>
      <c r="U38" s="6">
        <f>+'2019'!C38</f>
        <v>0.93289258956083776</v>
      </c>
      <c r="V38" s="6">
        <f>+'2020'!C38</f>
        <v>0.9289351492241037</v>
      </c>
      <c r="W38" s="6">
        <f>+'2021'!C38</f>
        <v>1.0029640934597874</v>
      </c>
      <c r="X38" s="6">
        <f>+'2022'!D38</f>
        <v>0.86694155011979723</v>
      </c>
    </row>
    <row r="39" spans="2:24" ht="15" thickBot="1" x14ac:dyDescent="0.25">
      <c r="B39" s="5" t="s">
        <v>34</v>
      </c>
      <c r="C39" s="6">
        <f>+'2001'!C39</f>
        <v>0.99140010895789554</v>
      </c>
      <c r="D39" s="6">
        <f>+'2002'!C39</f>
        <v>0.98420898555216885</v>
      </c>
      <c r="E39" s="6">
        <f>+'2003'!C39</f>
        <v>0.99756774404178905</v>
      </c>
      <c r="F39" s="6">
        <f>+'2004'!C39</f>
        <v>1.0096674634633422</v>
      </c>
      <c r="G39" s="6">
        <f>+'2005'!C39</f>
        <v>0.98825836996956373</v>
      </c>
      <c r="H39" s="6">
        <f>+'2006'!C39</f>
        <v>0.98517450170213872</v>
      </c>
      <c r="I39" s="6">
        <f>+'2007'!C39</f>
        <v>0.99135018245708884</v>
      </c>
      <c r="J39" s="6">
        <f>+'2008'!C39</f>
        <v>0.97321540799652628</v>
      </c>
      <c r="K39" s="6">
        <f>+'2009'!C39</f>
        <v>0.97393564408527478</v>
      </c>
      <c r="L39" s="6">
        <f>+'2010'!C39</f>
        <v>0.9954867342223751</v>
      </c>
      <c r="M39" s="6">
        <f>+'2011'!C39</f>
        <v>1.0269146434292595</v>
      </c>
      <c r="N39" s="6">
        <f>+'2012'!C39</f>
        <v>1.0169338476288154</v>
      </c>
      <c r="O39" s="6">
        <f>+'2013'!C39</f>
        <v>1.0099649209946295</v>
      </c>
      <c r="P39" s="6">
        <f>+'2014'!C39</f>
        <v>0.99822568124766864</v>
      </c>
      <c r="Q39" s="6">
        <f>+'2015'!C39</f>
        <v>1.0315670443016571</v>
      </c>
      <c r="R39" s="6">
        <f>+'2016'!C39</f>
        <v>1.0303679258531104</v>
      </c>
      <c r="S39" s="6">
        <f>+'2017'!C39</f>
        <v>0.98884647709763274</v>
      </c>
      <c r="T39" s="6">
        <f>+'2018'!C39</f>
        <v>0.99654269250916705</v>
      </c>
      <c r="U39" s="6">
        <f>+'2019'!C39</f>
        <v>0.96969449436366606</v>
      </c>
      <c r="V39" s="6">
        <f>+'2020'!C39</f>
        <v>0.97589991141002697</v>
      </c>
      <c r="W39" s="6">
        <f>+'2021'!C39</f>
        <v>1.021283255086072</v>
      </c>
      <c r="X39" s="6">
        <f>+'2022'!D39</f>
        <v>0.91246361861253367</v>
      </c>
    </row>
    <row r="40" spans="2:24" ht="15" thickBot="1" x14ac:dyDescent="0.25">
      <c r="B40" s="5" t="s">
        <v>67</v>
      </c>
      <c r="C40" s="6">
        <f>+'2001'!C40</f>
        <v>1.0078655909314362</v>
      </c>
      <c r="D40" s="6">
        <f>+'2002'!C40</f>
        <v>1.0088720252211032</v>
      </c>
      <c r="E40" s="6">
        <f>+'2003'!C40</f>
        <v>0.99206957625102432</v>
      </c>
      <c r="F40" s="6">
        <f>+'2004'!C40</f>
        <v>0.9965899618580919</v>
      </c>
      <c r="G40" s="6">
        <f>+'2005'!C40</f>
        <v>0.98849323204078099</v>
      </c>
      <c r="H40" s="6">
        <f>+'2006'!C40</f>
        <v>0.96014404593897518</v>
      </c>
      <c r="I40" s="6">
        <f>+'2007'!C40</f>
        <v>0.95962095042479689</v>
      </c>
      <c r="J40" s="6">
        <f>+'2008'!C40</f>
        <v>0.98009097501483289</v>
      </c>
      <c r="K40" s="6">
        <f>+'2009'!C40</f>
        <v>0.95704939010546741</v>
      </c>
      <c r="L40" s="6">
        <f>+'2010'!C40</f>
        <v>1.0086358580240671</v>
      </c>
      <c r="M40" s="6">
        <f>+'2011'!C40</f>
        <v>1.0259354669693928</v>
      </c>
      <c r="N40" s="6">
        <f>+'2012'!C40</f>
        <v>1.0119016191481873</v>
      </c>
      <c r="O40" s="6">
        <f>+'2013'!C40</f>
        <v>1.0139090851615351</v>
      </c>
      <c r="P40" s="6">
        <f>+'2014'!C40</f>
        <v>1.0054949399114486</v>
      </c>
      <c r="Q40" s="6">
        <f>+'2015'!C40</f>
        <v>1.0195811681794866</v>
      </c>
      <c r="R40" s="6">
        <f>+'2016'!C40</f>
        <v>1.0168933212450892</v>
      </c>
      <c r="S40" s="6">
        <f>+'2017'!C40</f>
        <v>0.97293042780418548</v>
      </c>
      <c r="T40" s="6">
        <f>+'2018'!C40</f>
        <v>0.90012219435333463</v>
      </c>
      <c r="U40" s="6">
        <f>+'2019'!C40</f>
        <v>0.99254039391437665</v>
      </c>
      <c r="V40" s="6">
        <f>+'2020'!C40</f>
        <v>0.93739879525876024</v>
      </c>
      <c r="W40" s="6">
        <f>+'2021'!C40</f>
        <v>1.0420771263815474</v>
      </c>
      <c r="X40" s="6">
        <f>+'2022'!D40</f>
        <v>1.0059480456421461</v>
      </c>
    </row>
    <row r="41" spans="2:24" ht="15" thickBot="1" x14ac:dyDescent="0.25">
      <c r="B41" s="5" t="s">
        <v>31</v>
      </c>
      <c r="C41" s="6">
        <f>+'2001'!C41</f>
        <v>1.0097133126115998</v>
      </c>
      <c r="D41" s="6">
        <f>+'2002'!C41</f>
        <v>0.98115085348935405</v>
      </c>
      <c r="E41" s="6">
        <f>+'2003'!C41</f>
        <v>0.99568096115057436</v>
      </c>
      <c r="F41" s="6">
        <f>+'2004'!C41</f>
        <v>1.0095794855244145</v>
      </c>
      <c r="G41" s="6">
        <f>+'2005'!C41</f>
        <v>0.99347004557074581</v>
      </c>
      <c r="H41" s="6">
        <f>+'2006'!C41</f>
        <v>0.98755313903436881</v>
      </c>
      <c r="I41" s="6">
        <f>+'2007'!C41</f>
        <v>1.0073681682149558</v>
      </c>
      <c r="J41" s="6">
        <f>+'2008'!C41</f>
        <v>0.96014781446649389</v>
      </c>
      <c r="K41" s="6">
        <f>+'2009'!C41</f>
        <v>1.013453441461968</v>
      </c>
      <c r="L41" s="6">
        <f>+'2010'!C41</f>
        <v>0.98786059417308525</v>
      </c>
      <c r="M41" s="6">
        <f>+'2011'!C41</f>
        <v>1.0039467656490433</v>
      </c>
      <c r="N41" s="6">
        <f>+'2012'!C41</f>
        <v>0.99877071518862559</v>
      </c>
      <c r="O41" s="6">
        <f>+'2013'!C41</f>
        <v>1.012381879481457</v>
      </c>
      <c r="P41" s="6">
        <f>+'2014'!C41</f>
        <v>0.99543808493627428</v>
      </c>
      <c r="Q41" s="6">
        <f>+'2015'!C41</f>
        <v>1.0094868955334071</v>
      </c>
      <c r="R41" s="6">
        <f>+'2016'!C41</f>
        <v>1.0477369224830919</v>
      </c>
      <c r="S41" s="6">
        <f>+'2017'!C41</f>
        <v>0.97555703089578338</v>
      </c>
      <c r="T41" s="6">
        <f>+'2018'!C41</f>
        <v>0.95715242983110727</v>
      </c>
      <c r="U41" s="6">
        <f>+'2019'!C41</f>
        <v>0.97702756243972821</v>
      </c>
      <c r="V41" s="6">
        <f>+'2020'!C41</f>
        <v>0.95017658819281137</v>
      </c>
      <c r="W41" s="6">
        <f>+'2021'!C41</f>
        <v>1.0171154884605451</v>
      </c>
      <c r="X41" s="6">
        <f>+'2022'!D41</f>
        <v>0.94351797289334116</v>
      </c>
    </row>
    <row r="42" spans="2:24" ht="15" thickBot="1" x14ac:dyDescent="0.25">
      <c r="B42" s="5" t="s">
        <v>68</v>
      </c>
      <c r="C42" s="6">
        <f>+'2001'!C42</f>
        <v>1.0155363865986751</v>
      </c>
      <c r="D42" s="6">
        <f>+'2002'!C42</f>
        <v>0.96484190655969793</v>
      </c>
      <c r="E42" s="6">
        <f>+'2003'!C42</f>
        <v>1.0053496188988307</v>
      </c>
      <c r="F42" s="6">
        <f>+'2004'!C42</f>
        <v>1.0147773577495214</v>
      </c>
      <c r="G42" s="6">
        <f>+'2005'!C42</f>
        <v>0.97652397783304967</v>
      </c>
      <c r="H42" s="6">
        <f>+'2006'!C42</f>
        <v>0.98072383949645947</v>
      </c>
      <c r="I42" s="6">
        <f>+'2007'!C42</f>
        <v>0.96852300242130751</v>
      </c>
      <c r="J42" s="6">
        <f>+'2008'!C42</f>
        <v>0.94445648248465153</v>
      </c>
      <c r="K42" s="6">
        <f>+'2009'!C42</f>
        <v>1.0050363738108561</v>
      </c>
      <c r="L42" s="6">
        <f>+'2010'!C42</f>
        <v>1.0054743236561419</v>
      </c>
      <c r="M42" s="6">
        <f>+'2011'!C42</f>
        <v>0.9733878131106769</v>
      </c>
      <c r="N42" s="6">
        <f>+'2012'!C42</f>
        <v>1.0358178654292343</v>
      </c>
      <c r="O42" s="6">
        <f>+'2013'!C42</f>
        <v>0.99977733244266309</v>
      </c>
      <c r="P42" s="6">
        <f>+'2014'!C42</f>
        <v>0.9834134187577861</v>
      </c>
      <c r="Q42" s="6">
        <f>+'2015'!C42</f>
        <v>0.99204630321135179</v>
      </c>
      <c r="R42" s="6">
        <f>+'2016'!C42</f>
        <v>1.0351796011215151</v>
      </c>
      <c r="S42" s="6">
        <f>+'2017'!C42</f>
        <v>0.90714580325840377</v>
      </c>
      <c r="T42" s="6">
        <f>+'2018'!C42</f>
        <v>0.86290064955808754</v>
      </c>
      <c r="U42" s="6">
        <f>+'2019'!C42</f>
        <v>1.002247191011236</v>
      </c>
      <c r="V42" s="6">
        <f>+'2020'!C42</f>
        <v>0.98705764661748152</v>
      </c>
      <c r="W42" s="6">
        <f>+'2021'!C42</f>
        <v>1.0393661104266996</v>
      </c>
      <c r="X42" s="6">
        <f>+'2022'!D42</f>
        <v>0.93817427385892116</v>
      </c>
    </row>
    <row r="43" spans="2:24" ht="15" thickBot="1" x14ac:dyDescent="0.25">
      <c r="B43" s="5" t="s">
        <v>69</v>
      </c>
      <c r="C43" s="6">
        <f>+'2001'!C43</f>
        <v>1.0033554530798936</v>
      </c>
      <c r="D43" s="6">
        <f>+'2002'!C43</f>
        <v>0.98858517434273974</v>
      </c>
      <c r="E43" s="6">
        <f>+'2003'!C43</f>
        <v>0.9894084829256975</v>
      </c>
      <c r="F43" s="6">
        <f>+'2004'!C43</f>
        <v>1.0195528238018885</v>
      </c>
      <c r="G43" s="6">
        <f>+'2005'!C43</f>
        <v>0.96702336203063743</v>
      </c>
      <c r="H43" s="6">
        <f>+'2006'!C43</f>
        <v>0.97737277604924244</v>
      </c>
      <c r="I43" s="6">
        <f>+'2007'!C43</f>
        <v>1.0027335410196108</v>
      </c>
      <c r="J43" s="6">
        <f>+'2008'!C43</f>
        <v>0.9894264947970618</v>
      </c>
      <c r="K43" s="6">
        <f>+'2009'!C43</f>
        <v>0.97760659786908921</v>
      </c>
      <c r="L43" s="6">
        <f>+'2010'!C43</f>
        <v>0.9941732815402804</v>
      </c>
      <c r="M43" s="6">
        <f>+'2011'!C43</f>
        <v>1.0415220454311145</v>
      </c>
      <c r="N43" s="6">
        <f>+'2012'!C43</f>
        <v>1.0251789444245374</v>
      </c>
      <c r="O43" s="6">
        <f>+'2013'!C43</f>
        <v>1.0395355679786342</v>
      </c>
      <c r="P43" s="6">
        <f>+'2014'!C43</f>
        <v>1.0280329123612706</v>
      </c>
      <c r="Q43" s="6">
        <f>+'2015'!C43</f>
        <v>1.0111256308579668</v>
      </c>
      <c r="R43" s="6">
        <f>+'2016'!C43</f>
        <v>1.0180281321699702</v>
      </c>
      <c r="S43" s="6">
        <f>+'2017'!C43</f>
        <v>0.97738181818181813</v>
      </c>
      <c r="T43" s="6">
        <f>+'2018'!C43</f>
        <v>0.9770111543219917</v>
      </c>
      <c r="U43" s="6">
        <f>+'2019'!C43</f>
        <v>0.98954310470536766</v>
      </c>
      <c r="V43" s="6">
        <f>+'2020'!C43</f>
        <v>0.9412099087353325</v>
      </c>
      <c r="W43" s="6">
        <f>+'2021'!C43</f>
        <v>1.008562047199427</v>
      </c>
      <c r="X43" s="6">
        <f>+'2022'!D43</f>
        <v>0.90857947920715121</v>
      </c>
    </row>
    <row r="44" spans="2:24" ht="15" thickBot="1" x14ac:dyDescent="0.25">
      <c r="B44" s="5" t="s">
        <v>70</v>
      </c>
      <c r="C44" s="6">
        <f>+'2001'!C44</f>
        <v>1.018424577206265</v>
      </c>
      <c r="D44" s="6">
        <f>+'2002'!C44</f>
        <v>1.0029378384513117</v>
      </c>
      <c r="E44" s="6">
        <f>+'2003'!C44</f>
        <v>1.0114647853939382</v>
      </c>
      <c r="F44" s="6">
        <f>+'2004'!C44</f>
        <v>1.0063547743419632</v>
      </c>
      <c r="G44" s="6">
        <f>+'2005'!C44</f>
        <v>0.99628565111651557</v>
      </c>
      <c r="H44" s="6">
        <f>+'2006'!C44</f>
        <v>0.98862746873847707</v>
      </c>
      <c r="I44" s="6">
        <f>+'2007'!C44</f>
        <v>1.0025477070636428</v>
      </c>
      <c r="J44" s="6">
        <f>+'2008'!C44</f>
        <v>1.0017273717155708</v>
      </c>
      <c r="K44" s="6">
        <f>+'2009'!C44</f>
        <v>0.98259928986291067</v>
      </c>
      <c r="L44" s="6">
        <f>+'2010'!C44</f>
        <v>0.99161615865858543</v>
      </c>
      <c r="M44" s="6">
        <f>+'2011'!C44</f>
        <v>1.0040674679119141</v>
      </c>
      <c r="N44" s="6">
        <f>+'2012'!C44</f>
        <v>0.98966045442941031</v>
      </c>
      <c r="O44" s="6">
        <f>+'2013'!C44</f>
        <v>1.0011774344950326</v>
      </c>
      <c r="P44" s="6">
        <f>+'2014'!C44</f>
        <v>1.0159570677586103</v>
      </c>
      <c r="Q44" s="6">
        <f>+'2015'!C44</f>
        <v>1.0269014542582353</v>
      </c>
      <c r="R44" s="6">
        <f>+'2016'!C44</f>
        <v>1.0078976210431307</v>
      </c>
      <c r="S44" s="6">
        <f>+'2017'!C44</f>
        <v>0.96997424368097085</v>
      </c>
      <c r="T44" s="6">
        <f>+'2018'!C44</f>
        <v>0.87595224559408758</v>
      </c>
      <c r="U44" s="6">
        <f>+'2019'!C44</f>
        <v>0.98452001839205738</v>
      </c>
      <c r="V44" s="6">
        <f>+'2020'!C44</f>
        <v>0.95065933023432314</v>
      </c>
      <c r="W44" s="6">
        <f>+'2021'!C44</f>
        <v>1.0310822662690755</v>
      </c>
      <c r="X44" s="6">
        <f>+'2022'!D44</f>
        <v>0.95163781337547593</v>
      </c>
    </row>
    <row r="45" spans="2:24" ht="15" thickBot="1" x14ac:dyDescent="0.25">
      <c r="B45" s="5" t="s">
        <v>71</v>
      </c>
      <c r="C45" s="6">
        <f>+'2001'!C45</f>
        <v>1.0106550591502657</v>
      </c>
      <c r="D45" s="6">
        <f>+'2002'!C45</f>
        <v>0.97699448068238837</v>
      </c>
      <c r="E45" s="6">
        <f>+'2003'!C45</f>
        <v>0.9806366664084889</v>
      </c>
      <c r="F45" s="6">
        <f>+'2004'!C45</f>
        <v>0.97627626837800163</v>
      </c>
      <c r="G45" s="6">
        <f>+'2005'!C45</f>
        <v>0.9750058234334964</v>
      </c>
      <c r="H45" s="6">
        <f>+'2006'!C45</f>
        <v>0.99443259385665528</v>
      </c>
      <c r="I45" s="6">
        <f>+'2007'!C45</f>
        <v>0.97589664082687344</v>
      </c>
      <c r="J45" s="6">
        <f>+'2008'!C45</f>
        <v>0.953365138865224</v>
      </c>
      <c r="K45" s="6">
        <f>+'2009'!C45</f>
        <v>1.02490088791324</v>
      </c>
      <c r="L45" s="6">
        <f>+'2010'!C45</f>
        <v>0.99773470928769192</v>
      </c>
      <c r="M45" s="6">
        <f>+'2011'!C45</f>
        <v>1.0395792442403338</v>
      </c>
      <c r="N45" s="6">
        <f>+'2012'!C45</f>
        <v>0.99734768111548955</v>
      </c>
      <c r="O45" s="6">
        <f>+'2013'!C45</f>
        <v>1.0105609488606362</v>
      </c>
      <c r="P45" s="6">
        <f>+'2014'!C45</f>
        <v>0.99563734433251372</v>
      </c>
      <c r="Q45" s="6">
        <f>+'2015'!C45</f>
        <v>1.0185398364132081</v>
      </c>
      <c r="R45" s="6">
        <f>+'2016'!C45</f>
        <v>1.0287018054361483</v>
      </c>
      <c r="S45" s="6">
        <f>+'2017'!C45</f>
        <v>0.94951233505450372</v>
      </c>
      <c r="T45" s="6">
        <f>+'2018'!C45</f>
        <v>0.94473837120401238</v>
      </c>
      <c r="U45" s="6">
        <f>+'2019'!C45</f>
        <v>0.97023024803016833</v>
      </c>
      <c r="V45" s="6">
        <f>+'2020'!C45</f>
        <v>0.97126416112210034</v>
      </c>
      <c r="W45" s="6">
        <f>+'2021'!C45</f>
        <v>1.0207657990178771</v>
      </c>
      <c r="X45" s="6">
        <f>+'2022'!D45</f>
        <v>0.92597072698681504</v>
      </c>
    </row>
    <row r="46" spans="2:24" ht="15" thickBot="1" x14ac:dyDescent="0.25">
      <c r="B46" s="5" t="s">
        <v>72</v>
      </c>
      <c r="C46" s="6">
        <f>+'2001'!C46</f>
        <v>0.94576194184839046</v>
      </c>
      <c r="D46" s="6">
        <f>+'2002'!C46</f>
        <v>1.0060850627722264</v>
      </c>
      <c r="E46" s="6">
        <f>+'2003'!C46</f>
        <v>0.99574379482029018</v>
      </c>
      <c r="F46" s="6">
        <f>+'2004'!C46</f>
        <v>0.99878051784878419</v>
      </c>
      <c r="G46" s="6">
        <f>+'2005'!C46</f>
        <v>0.96377391649764366</v>
      </c>
      <c r="H46" s="6">
        <f>+'2006'!C46</f>
        <v>0.95507369860949298</v>
      </c>
      <c r="I46" s="6">
        <f>+'2007'!C46</f>
        <v>0.96898909730041471</v>
      </c>
      <c r="J46" s="6">
        <f>+'2008'!C46</f>
        <v>0.95248159258249254</v>
      </c>
      <c r="K46" s="6">
        <f>+'2009'!C46</f>
        <v>0.97285035287339772</v>
      </c>
      <c r="L46" s="6">
        <f>+'2010'!C46</f>
        <v>0.97744856645409872</v>
      </c>
      <c r="M46" s="6">
        <f>+'2011'!C46</f>
        <v>1.0487291652165533</v>
      </c>
      <c r="N46" s="6">
        <f>+'2012'!C46</f>
        <v>1.0175538027173037</v>
      </c>
      <c r="O46" s="6">
        <f>+'2013'!C46</f>
        <v>1.0476104374555029</v>
      </c>
      <c r="P46" s="6">
        <f>+'2014'!C46</f>
        <v>1.0308037627738049</v>
      </c>
      <c r="Q46" s="6">
        <f>+'2015'!C46</f>
        <v>1.0349060747636896</v>
      </c>
      <c r="R46" s="6">
        <f>+'2016'!C46</f>
        <v>1.0423301445643205</v>
      </c>
      <c r="S46" s="6">
        <f>+'2017'!C46</f>
        <v>0.94521341329306019</v>
      </c>
      <c r="T46" s="6">
        <f>+'2018'!C46</f>
        <v>0.94765768689819319</v>
      </c>
      <c r="U46" s="6">
        <f>+'2019'!C46</f>
        <v>0.96121268884635747</v>
      </c>
      <c r="V46" s="6">
        <f>+'2020'!C46</f>
        <v>0.93795803557853119</v>
      </c>
      <c r="W46" s="6">
        <f>+'2021'!C46</f>
        <v>0.9818093086066505</v>
      </c>
      <c r="X46" s="6">
        <f>+'2022'!D46</f>
        <v>0.90577772774603893</v>
      </c>
    </row>
    <row r="47" spans="2:24" ht="15" thickBot="1" x14ac:dyDescent="0.25">
      <c r="B47" s="5" t="s">
        <v>5</v>
      </c>
      <c r="C47" s="6">
        <f>+'2001'!C47</f>
        <v>1.0207891563760343</v>
      </c>
      <c r="D47" s="6">
        <f>+'2002'!C47</f>
        <v>1.0153420233014188</v>
      </c>
      <c r="E47" s="6">
        <f>+'2003'!C47</f>
        <v>1.0039673933842759</v>
      </c>
      <c r="F47" s="6">
        <f>+'2004'!C47</f>
        <v>0.98050406524065492</v>
      </c>
      <c r="G47" s="6">
        <f>+'2005'!C47</f>
        <v>0.9788700752021946</v>
      </c>
      <c r="H47" s="6">
        <f>+'2006'!C47</f>
        <v>0.97908437264213755</v>
      </c>
      <c r="I47" s="6">
        <f>+'2007'!C47</f>
        <v>0.9860590266742939</v>
      </c>
      <c r="J47" s="6">
        <f>+'2008'!C47</f>
        <v>0.97168325657406029</v>
      </c>
      <c r="K47" s="6">
        <f>+'2009'!C47</f>
        <v>0.96197033030079504</v>
      </c>
      <c r="L47" s="6">
        <f>+'2010'!C47</f>
        <v>0.98747517400561824</v>
      </c>
      <c r="M47" s="6">
        <f>+'2011'!C47</f>
        <v>0.99699603732583408</v>
      </c>
      <c r="N47" s="6">
        <f>+'2012'!C47</f>
        <v>1.0352527690996876</v>
      </c>
      <c r="O47" s="6">
        <f>+'2013'!C47</f>
        <v>1.0282596302630507</v>
      </c>
      <c r="P47" s="6">
        <f>+'2014'!C47</f>
        <v>1.0337036631640397</v>
      </c>
      <c r="Q47" s="6">
        <f>+'2015'!C47</f>
        <v>1.0244961680386035</v>
      </c>
      <c r="R47" s="6">
        <f>+'2016'!C47</f>
        <v>1.0535137673927082</v>
      </c>
      <c r="S47" s="6">
        <f>+'2017'!C47</f>
        <v>0.96676523436947326</v>
      </c>
      <c r="T47" s="6">
        <f>+'2018'!C47</f>
        <v>0.95516599010176273</v>
      </c>
      <c r="U47" s="6">
        <f>+'2019'!C47</f>
        <v>0.98415583016988395</v>
      </c>
      <c r="V47" s="6">
        <f>+'2020'!C47</f>
        <v>0.95172476590836663</v>
      </c>
      <c r="W47" s="6">
        <f>+'2021'!C47</f>
        <v>1.0109509306260576</v>
      </c>
      <c r="X47" s="6">
        <f>+'2022'!D47</f>
        <v>0.94988034739587535</v>
      </c>
    </row>
    <row r="48" spans="2:24" ht="15" thickBot="1" x14ac:dyDescent="0.25">
      <c r="B48" s="5" t="s">
        <v>73</v>
      </c>
      <c r="C48" s="6">
        <f>+'2001'!C48</f>
        <v>1.0129949238578679</v>
      </c>
      <c r="D48" s="6">
        <f>+'2002'!C48</f>
        <v>1.0222741039878849</v>
      </c>
      <c r="E48" s="6">
        <f>+'2003'!C48</f>
        <v>0.95030317441445722</v>
      </c>
      <c r="F48" s="6">
        <f>+'2004'!C48</f>
        <v>0.98369975056557801</v>
      </c>
      <c r="G48" s="6">
        <f>+'2005'!C48</f>
        <v>0.97840659059509794</v>
      </c>
      <c r="H48" s="6">
        <f>+'2006'!C48</f>
        <v>0.9552136417091337</v>
      </c>
      <c r="I48" s="6">
        <f>+'2007'!C48</f>
        <v>0.9463512162612463</v>
      </c>
      <c r="J48" s="6">
        <f>+'2008'!C48</f>
        <v>0.8599077940153097</v>
      </c>
      <c r="K48" s="6">
        <f>+'2009'!C48</f>
        <v>0.97368961973278523</v>
      </c>
      <c r="L48" s="6">
        <f>+'2010'!C48</f>
        <v>0.96631878557874762</v>
      </c>
      <c r="M48" s="6">
        <f>+'2011'!C48</f>
        <v>1.0119201308202084</v>
      </c>
      <c r="N48" s="6">
        <f>+'2012'!C48</f>
        <v>0.98983863933711291</v>
      </c>
      <c r="O48" s="6">
        <f>+'2013'!C48</f>
        <v>1.0129733198863116</v>
      </c>
      <c r="P48" s="6">
        <f>+'2014'!C48</f>
        <v>1.029974904730923</v>
      </c>
      <c r="Q48" s="6">
        <f>+'2015'!C48</f>
        <v>0.94754299754299753</v>
      </c>
      <c r="R48" s="6">
        <f>+'2016'!C48</f>
        <v>1.1191358024691358</v>
      </c>
      <c r="S48" s="6">
        <f>+'2017'!C48</f>
        <v>1.0189173643509939</v>
      </c>
      <c r="T48" s="6">
        <f>+'2018'!C48</f>
        <v>0.99426897605705555</v>
      </c>
      <c r="U48" s="6">
        <f>+'2019'!C48</f>
        <v>0.98128647551382897</v>
      </c>
      <c r="V48" s="6">
        <f>+'2020'!C48</f>
        <v>0.95773166970419177</v>
      </c>
      <c r="W48" s="6">
        <f>+'2021'!C48</f>
        <v>0.99063364344983651</v>
      </c>
      <c r="X48" s="6">
        <f>+'2022'!D48</f>
        <v>0.92750981491867635</v>
      </c>
    </row>
    <row r="49" spans="2:24" ht="15" thickBot="1" x14ac:dyDescent="0.25">
      <c r="B49" s="5" t="s">
        <v>74</v>
      </c>
      <c r="C49" s="6">
        <f>+'2001'!C49</f>
        <v>1.0138882639670042</v>
      </c>
      <c r="D49" s="6">
        <f>+'2002'!C49</f>
        <v>1.0043037730903177</v>
      </c>
      <c r="E49" s="6">
        <f>+'2003'!C49</f>
        <v>1.0086618143268995</v>
      </c>
      <c r="F49" s="6">
        <f>+'2004'!C49</f>
        <v>1.0095516158484583</v>
      </c>
      <c r="G49" s="6">
        <f>+'2005'!C49</f>
        <v>0.99277893538349293</v>
      </c>
      <c r="H49" s="6">
        <f>+'2006'!C49</f>
        <v>0.97743282870054682</v>
      </c>
      <c r="I49" s="6">
        <f>+'2007'!C49</f>
        <v>0.9952366836169787</v>
      </c>
      <c r="J49" s="6">
        <f>+'2008'!C49</f>
        <v>0.97917305931329079</v>
      </c>
      <c r="K49" s="6">
        <f>+'2009'!C49</f>
        <v>0.96527279612203087</v>
      </c>
      <c r="L49" s="6">
        <f>+'2010'!C49</f>
        <v>0.97514535086050491</v>
      </c>
      <c r="M49" s="6">
        <f>+'2011'!C49</f>
        <v>0.98372765609862656</v>
      </c>
      <c r="N49" s="6">
        <f>+'2012'!C49</f>
        <v>1.0127894114686935</v>
      </c>
      <c r="O49" s="6">
        <f>+'2013'!C49</f>
        <v>1.0219217991796852</v>
      </c>
      <c r="P49" s="6">
        <f>+'2014'!C49</f>
        <v>1.0109672105709204</v>
      </c>
      <c r="Q49" s="6">
        <f>+'2015'!C49</f>
        <v>1.0393958929526086</v>
      </c>
      <c r="R49" s="6">
        <f>+'2016'!C49</f>
        <v>1.0504900363254828</v>
      </c>
      <c r="S49" s="6">
        <f>+'2017'!C49</f>
        <v>1.0008355154010673</v>
      </c>
      <c r="T49" s="6">
        <f>+'2018'!C49</f>
        <v>0.97280067486141242</v>
      </c>
      <c r="U49" s="6">
        <f>+'2019'!C49</f>
        <v>0.992396331738437</v>
      </c>
      <c r="V49" s="6">
        <f>+'2020'!C49</f>
        <v>0.97200269918979021</v>
      </c>
      <c r="W49" s="6">
        <f>+'2021'!C49</f>
        <v>1.0360829024562959</v>
      </c>
      <c r="X49" s="6">
        <f>+'2022'!D49</f>
        <v>0.96817742594863787</v>
      </c>
    </row>
    <row r="50" spans="2:24" ht="15" thickBot="1" x14ac:dyDescent="0.25">
      <c r="B50" s="5" t="s">
        <v>75</v>
      </c>
      <c r="C50" s="6">
        <f>+'2001'!C50</f>
        <v>0.98305597579425108</v>
      </c>
      <c r="D50" s="6">
        <f>+'2002'!C50</f>
        <v>0.99913378248315687</v>
      </c>
      <c r="E50" s="6">
        <f>+'2003'!C50</f>
        <v>0.96869154277837943</v>
      </c>
      <c r="F50" s="6">
        <f>+'2004'!C50</f>
        <v>1.0166808029403449</v>
      </c>
      <c r="G50" s="6">
        <f>+'2005'!C50</f>
        <v>1.0014096419509444</v>
      </c>
      <c r="H50" s="6">
        <f>+'2006'!C50</f>
        <v>0.99860335195530725</v>
      </c>
      <c r="I50" s="6">
        <f>+'2007'!C50</f>
        <v>1.0238116158509798</v>
      </c>
      <c r="J50" s="6">
        <f>+'2008'!C50</f>
        <v>0.91545476953413851</v>
      </c>
      <c r="K50" s="6">
        <f>+'2009'!C50</f>
        <v>0.95791644390132136</v>
      </c>
      <c r="L50" s="6">
        <f>+'2010'!C50</f>
        <v>0.9478931664362128</v>
      </c>
      <c r="M50" s="6">
        <f>+'2011'!C50</f>
        <v>0.97272793210995867</v>
      </c>
      <c r="N50" s="6">
        <f>+'2012'!C50</f>
        <v>0.97408707340751255</v>
      </c>
      <c r="O50" s="6">
        <f>+'2013'!C50</f>
        <v>0.99133978604177275</v>
      </c>
      <c r="P50" s="6">
        <f>+'2014'!C50</f>
        <v>0.98387520813250373</v>
      </c>
      <c r="Q50" s="6">
        <f>+'2015'!C50</f>
        <v>1.0132508833922262</v>
      </c>
      <c r="R50" s="6">
        <f>+'2016'!C50</f>
        <v>1.0344743276283619</v>
      </c>
      <c r="S50" s="6">
        <f>+'2017'!C50</f>
        <v>0.95745172852352878</v>
      </c>
      <c r="T50" s="6">
        <f>+'2018'!C50</f>
        <v>0.97702658352477845</v>
      </c>
      <c r="U50" s="6">
        <f>+'2019'!C50</f>
        <v>0.96918319471102576</v>
      </c>
      <c r="V50" s="6">
        <f>+'2020'!C50</f>
        <v>0.93213429256594726</v>
      </c>
      <c r="W50" s="6">
        <f>+'2021'!C50</f>
        <v>1.0197608431293068</v>
      </c>
      <c r="X50" s="6">
        <f>+'2022'!D50</f>
        <v>0.94895644283121594</v>
      </c>
    </row>
    <row r="51" spans="2:24" ht="15" thickBot="1" x14ac:dyDescent="0.25">
      <c r="B51" s="5" t="s">
        <v>76</v>
      </c>
      <c r="C51" s="6">
        <f>+'2001'!C51</f>
        <v>0.99877420185218102</v>
      </c>
      <c r="D51" s="6">
        <f>+'2002'!C51</f>
        <v>0.97156311711985421</v>
      </c>
      <c r="E51" s="6">
        <f>+'2003'!C51</f>
        <v>0.99488764983819755</v>
      </c>
      <c r="F51" s="6">
        <f>+'2004'!C51</f>
        <v>1.012228321840456</v>
      </c>
      <c r="G51" s="6">
        <f>+'2005'!C51</f>
        <v>0.98410440648141362</v>
      </c>
      <c r="H51" s="6">
        <f>+'2006'!C51</f>
        <v>0.96988389486430659</v>
      </c>
      <c r="I51" s="6">
        <f>+'2007'!C51</f>
        <v>0.98433507312564561</v>
      </c>
      <c r="J51" s="6">
        <f>+'2008'!C51</f>
        <v>0.96984060711742026</v>
      </c>
      <c r="K51" s="6">
        <f>+'2009'!C51</f>
        <v>0.97928534134307954</v>
      </c>
      <c r="L51" s="6">
        <f>+'2010'!C51</f>
        <v>0.98349009069533089</v>
      </c>
      <c r="M51" s="6">
        <f>+'2011'!C51</f>
        <v>1.0349844149858705</v>
      </c>
      <c r="N51" s="6">
        <f>+'2012'!C51</f>
        <v>1.0256923610561739</v>
      </c>
      <c r="O51" s="6">
        <f>+'2013'!C51</f>
        <v>1.0481026670785707</v>
      </c>
      <c r="P51" s="6">
        <f>+'2014'!C51</f>
        <v>1.0229773632362189</v>
      </c>
      <c r="Q51" s="6">
        <f>+'2015'!C51</f>
        <v>1.0457104861071813</v>
      </c>
      <c r="R51" s="6">
        <f>+'2016'!C51</f>
        <v>1.0251906585071362</v>
      </c>
      <c r="S51" s="6">
        <f>+'2017'!C51</f>
        <v>0.97068428152765507</v>
      </c>
      <c r="T51" s="6">
        <f>+'2018'!C51</f>
        <v>0.97882707866709329</v>
      </c>
      <c r="U51" s="6">
        <f>+'2019'!C51</f>
        <v>0.97520801191442308</v>
      </c>
      <c r="V51" s="6">
        <f>+'2020'!C51</f>
        <v>0.94460586654016443</v>
      </c>
      <c r="W51" s="6">
        <f>+'2021'!C51</f>
        <v>0.986674922390541</v>
      </c>
      <c r="X51" s="6">
        <f>+'2022'!D51</f>
        <v>0.93304102961465052</v>
      </c>
    </row>
    <row r="52" spans="2:24" ht="15" thickBot="1" x14ac:dyDescent="0.25">
      <c r="B52" s="5" t="s">
        <v>77</v>
      </c>
      <c r="C52" s="6">
        <f>+'2001'!C52</f>
        <v>1.0155544887181949</v>
      </c>
      <c r="D52" s="6">
        <f>+'2002'!C52</f>
        <v>1.0215660866345797</v>
      </c>
      <c r="E52" s="6">
        <f>+'2003'!C52</f>
        <v>0.98334179786693754</v>
      </c>
      <c r="F52" s="6">
        <f>+'2004'!C52</f>
        <v>1.0191489361702128</v>
      </c>
      <c r="G52" s="6">
        <f>+'2005'!C52</f>
        <v>0.9725992317541613</v>
      </c>
      <c r="H52" s="6">
        <f>+'2006'!C52</f>
        <v>0.94967970330411333</v>
      </c>
      <c r="I52" s="6">
        <f>+'2007'!C52</f>
        <v>0.9686147186147186</v>
      </c>
      <c r="J52" s="6">
        <f>+'2008'!C52</f>
        <v>1.006415211006338</v>
      </c>
      <c r="K52" s="6">
        <f>+'2009'!C52</f>
        <v>0.94668796106167774</v>
      </c>
      <c r="L52" s="6">
        <f>+'2010'!C52</f>
        <v>0.94401942033249964</v>
      </c>
      <c r="M52" s="6">
        <f>+'2011'!C52</f>
        <v>0.9838440918640875</v>
      </c>
      <c r="N52" s="6">
        <f>+'2012'!C52</f>
        <v>1.0350534075522793</v>
      </c>
      <c r="O52" s="6">
        <f>+'2013'!C52</f>
        <v>0.99954082804010103</v>
      </c>
      <c r="P52" s="6">
        <f>+'2014'!C52</f>
        <v>0.99517999698749815</v>
      </c>
      <c r="Q52" s="6">
        <f>+'2015'!C52</f>
        <v>1.0238657652520975</v>
      </c>
      <c r="R52" s="6">
        <f>+'2016'!C52</f>
        <v>1.0219630096679277</v>
      </c>
      <c r="S52" s="6">
        <f>+'2017'!C52</f>
        <v>0.9750698251784421</v>
      </c>
      <c r="T52" s="6">
        <f>+'2018'!C52</f>
        <v>0.98173207036535859</v>
      </c>
      <c r="U52" s="6">
        <f>+'2019'!C52</f>
        <v>0.95723410163843381</v>
      </c>
      <c r="V52" s="6">
        <f>+'2020'!C52</f>
        <v>0.99794483504597076</v>
      </c>
      <c r="W52" s="6">
        <f>+'2021'!C52</f>
        <v>1.0107266113235707</v>
      </c>
      <c r="X52" s="6">
        <f>+'2022'!D52</f>
        <v>0.91147400085947572</v>
      </c>
    </row>
    <row r="53" spans="2:24" ht="15" thickBot="1" x14ac:dyDescent="0.25">
      <c r="B53" s="5" t="s">
        <v>78</v>
      </c>
      <c r="C53" s="6">
        <f>+'2001'!C53</f>
        <v>0.99744189299918062</v>
      </c>
      <c r="D53" s="6">
        <f>+'2002'!C53</f>
        <v>0.98361849970113568</v>
      </c>
      <c r="E53" s="6">
        <f>+'2003'!C53</f>
        <v>1.0208538332729125</v>
      </c>
      <c r="F53" s="6">
        <f>+'2004'!C53</f>
        <v>0.99577835479483512</v>
      </c>
      <c r="G53" s="6">
        <f>+'2005'!C53</f>
        <v>0.95848190753775075</v>
      </c>
      <c r="H53" s="6">
        <f>+'2006'!C53</f>
        <v>0.92341231452590844</v>
      </c>
      <c r="I53" s="6">
        <f>+'2007'!C53</f>
        <v>0.97521951987819766</v>
      </c>
      <c r="J53" s="6">
        <f>+'2008'!C53</f>
        <v>0.88781740756595995</v>
      </c>
      <c r="K53" s="6">
        <f>+'2009'!C53</f>
        <v>0.86189403584369795</v>
      </c>
      <c r="L53" s="6">
        <f>+'2010'!C53</f>
        <v>0.93895661252187801</v>
      </c>
      <c r="M53" s="6">
        <f>+'2011'!C53</f>
        <v>0.96673467131644275</v>
      </c>
      <c r="N53" s="6">
        <f>+'2012'!C53</f>
        <v>0.96473648890890873</v>
      </c>
      <c r="O53" s="6">
        <f>+'2013'!C53</f>
        <v>1.0214013401109057</v>
      </c>
      <c r="P53" s="6">
        <f>+'2014'!C53</f>
        <v>0.99731729357280019</v>
      </c>
      <c r="Q53" s="6">
        <f>+'2015'!C53</f>
        <v>1.007806529625151</v>
      </c>
      <c r="R53" s="6">
        <f>+'2016'!C53</f>
        <v>1.0353234756192071</v>
      </c>
      <c r="S53" s="6">
        <f>+'2017'!C53</f>
        <v>0.93326402073350812</v>
      </c>
      <c r="T53" s="6">
        <f>+'2018'!C53</f>
        <v>0.92656751732296772</v>
      </c>
      <c r="U53" s="6">
        <f>+'2019'!C53</f>
        <v>0.92568377617308384</v>
      </c>
      <c r="V53" s="6">
        <f>+'2020'!C53</f>
        <v>0.94326401082526534</v>
      </c>
      <c r="W53" s="6">
        <f>+'2021'!C53</f>
        <v>0.93428261573780647</v>
      </c>
      <c r="X53" s="6">
        <f>+'2022'!D53</f>
        <v>0.89471520201743326</v>
      </c>
    </row>
    <row r="54" spans="2:24" ht="15" thickBot="1" x14ac:dyDescent="0.25">
      <c r="B54" s="5" t="s">
        <v>79</v>
      </c>
      <c r="C54" s="6">
        <f>+'2001'!C54</f>
        <v>0.97550027041644127</v>
      </c>
      <c r="D54" s="6">
        <f>+'2002'!C54</f>
        <v>0.96424790292369089</v>
      </c>
      <c r="E54" s="6">
        <f>+'2003'!C54</f>
        <v>0.98173565714514344</v>
      </c>
      <c r="F54" s="6">
        <f>+'2004'!C54</f>
        <v>0.98992535102140256</v>
      </c>
      <c r="G54" s="6">
        <f>+'2005'!C54</f>
        <v>0.97958906087498776</v>
      </c>
      <c r="H54" s="6">
        <f>+'2006'!C54</f>
        <v>0.95907763767738707</v>
      </c>
      <c r="I54" s="6">
        <f>+'2007'!C54</f>
        <v>0.97179746923037003</v>
      </c>
      <c r="J54" s="6">
        <f>+'2008'!C54</f>
        <v>0.95973484791757147</v>
      </c>
      <c r="K54" s="6">
        <f>+'2009'!C54</f>
        <v>0.93203005564590213</v>
      </c>
      <c r="L54" s="6">
        <f>+'2010'!C54</f>
        <v>0.98862048810402159</v>
      </c>
      <c r="M54" s="6">
        <f>+'2011'!C54</f>
        <v>1.0056579918644282</v>
      </c>
      <c r="N54" s="6">
        <f>+'2012'!C54</f>
        <v>0.98094956833328406</v>
      </c>
      <c r="O54" s="6">
        <f>+'2013'!C54</f>
        <v>1.0031074171976897</v>
      </c>
      <c r="P54" s="6">
        <f>+'2014'!C54</f>
        <v>0.99989017751871645</v>
      </c>
      <c r="Q54" s="6">
        <f>+'2015'!C54</f>
        <v>1.0031177702348988</v>
      </c>
      <c r="R54" s="6">
        <f>+'2016'!C54</f>
        <v>1.0611629199994945</v>
      </c>
      <c r="S54" s="6">
        <f>+'2017'!C54</f>
        <v>0.97856432004891403</v>
      </c>
      <c r="T54" s="6">
        <f>+'2018'!C54</f>
        <v>0.98442820427969235</v>
      </c>
      <c r="U54" s="6">
        <f>+'2019'!C54</f>
        <v>0.97424168674625944</v>
      </c>
      <c r="V54" s="6">
        <f>+'2020'!C54</f>
        <v>0.95498207411568392</v>
      </c>
      <c r="W54" s="6">
        <f>+'2021'!C54</f>
        <v>1.0208025003175616</v>
      </c>
      <c r="X54" s="6">
        <f>+'2022'!D54</f>
        <v>0.94346570621293513</v>
      </c>
    </row>
    <row r="55" spans="2:24" ht="15" thickBot="1" x14ac:dyDescent="0.25">
      <c r="B55" s="5" t="s">
        <v>80</v>
      </c>
      <c r="C55" s="6">
        <f>+'2001'!C55</f>
        <v>1.0199002998947388</v>
      </c>
      <c r="D55" s="6">
        <f>+'2002'!C55</f>
        <v>1.0063774453775944</v>
      </c>
      <c r="E55" s="6">
        <f>+'2003'!C55</f>
        <v>0.98995932892730043</v>
      </c>
      <c r="F55" s="6">
        <f>+'2004'!C55</f>
        <v>0.99645674143455754</v>
      </c>
      <c r="G55" s="6">
        <f>+'2005'!C55</f>
        <v>0.97573122984799632</v>
      </c>
      <c r="H55" s="6">
        <f>+'2006'!C55</f>
        <v>1.0017279580830813</v>
      </c>
      <c r="I55" s="6">
        <f>+'2007'!C55</f>
        <v>0.97586419834189542</v>
      </c>
      <c r="J55" s="6">
        <f>+'2008'!C55</f>
        <v>0.9127106784301795</v>
      </c>
      <c r="K55" s="6">
        <f>+'2009'!C55</f>
        <v>0.9843334044467531</v>
      </c>
      <c r="L55" s="6">
        <f>+'2010'!C55</f>
        <v>1.0029494913518688</v>
      </c>
      <c r="M55" s="6">
        <f>+'2011'!C55</f>
        <v>1.065321386076103</v>
      </c>
      <c r="N55" s="6">
        <f>+'2012'!C55</f>
        <v>1.0400252164811115</v>
      </c>
      <c r="O55" s="6">
        <f>+'2013'!C55</f>
        <v>1.0493211850600375</v>
      </c>
      <c r="P55" s="6">
        <f>+'2014'!C55</f>
        <v>1.024307795217277</v>
      </c>
      <c r="Q55" s="6">
        <f>+'2015'!C55</f>
        <v>1.0438116759017753</v>
      </c>
      <c r="R55" s="6">
        <f>+'2016'!C55</f>
        <v>1.0567208865034594</v>
      </c>
      <c r="S55" s="6">
        <f>+'2017'!C55</f>
        <v>0.94980954514900295</v>
      </c>
      <c r="T55" s="6">
        <f>+'2018'!C55</f>
        <v>0.97189354498125025</v>
      </c>
      <c r="U55" s="6">
        <f>+'2019'!C55</f>
        <v>1.0051636350551447</v>
      </c>
      <c r="V55" s="6">
        <f>+'2020'!C55</f>
        <v>0.93589794777609203</v>
      </c>
      <c r="W55" s="6">
        <f>+'2021'!C55</f>
        <v>0.99035902585990454</v>
      </c>
      <c r="X55" s="6">
        <f>+'2022'!D55</f>
        <v>0.97246601818700296</v>
      </c>
    </row>
    <row r="56" spans="2:24" ht="15" thickBot="1" x14ac:dyDescent="0.25">
      <c r="B56" s="5" t="s">
        <v>81</v>
      </c>
      <c r="C56" s="6">
        <f>+'2001'!C56</f>
        <v>1.0002272303060304</v>
      </c>
      <c r="D56" s="6">
        <f>+'2002'!C56</f>
        <v>1.0106347002065059</v>
      </c>
      <c r="E56" s="6">
        <f>+'2003'!C56</f>
        <v>1.0166532920068616</v>
      </c>
      <c r="F56" s="6">
        <f>+'2004'!C56</f>
        <v>1.0119581244470657</v>
      </c>
      <c r="G56" s="6">
        <f>+'2005'!C56</f>
        <v>0.99515835613298764</v>
      </c>
      <c r="H56" s="6">
        <f>+'2006'!C56</f>
        <v>0.98035241378290006</v>
      </c>
      <c r="I56" s="6">
        <f>+'2007'!C56</f>
        <v>0.99877109097458139</v>
      </c>
      <c r="J56" s="6">
        <f>+'2008'!C56</f>
        <v>0.96499251674899311</v>
      </c>
      <c r="K56" s="6">
        <f>+'2009'!C56</f>
        <v>0.97646313120642303</v>
      </c>
      <c r="L56" s="6">
        <f>+'2010'!C56</f>
        <v>1.0467264711129234</v>
      </c>
      <c r="M56" s="6">
        <f>+'2011'!C56</f>
        <v>1.0176200660835248</v>
      </c>
      <c r="N56" s="6">
        <f>+'2012'!C56</f>
        <v>1.0073234311081287</v>
      </c>
      <c r="O56" s="6">
        <f>+'2013'!C56</f>
        <v>0.99227038103390142</v>
      </c>
      <c r="P56" s="6">
        <f>+'2014'!C56</f>
        <v>1.0078468511127647</v>
      </c>
      <c r="Q56" s="6">
        <f>+'2015'!C56</f>
        <v>1.0353323147440794</v>
      </c>
      <c r="R56" s="6">
        <f>+'2016'!C56</f>
        <v>1.024996893509506</v>
      </c>
      <c r="S56" s="6">
        <f>+'2017'!C56</f>
        <v>0.94459055645108081</v>
      </c>
      <c r="T56" s="6">
        <f>+'2018'!C56</f>
        <v>0.96690705353050665</v>
      </c>
      <c r="U56" s="6">
        <f>+'2019'!C56</f>
        <v>0.98709931062226852</v>
      </c>
      <c r="V56" s="6">
        <f>+'2020'!C56</f>
        <v>0.93970661488883689</v>
      </c>
      <c r="W56" s="6">
        <f>+'2021'!C56</f>
        <v>1.0313755768859565</v>
      </c>
      <c r="X56" s="6">
        <f>+'2022'!D56</f>
        <v>0.96195571682464454</v>
      </c>
    </row>
    <row r="57" spans="2:24" ht="15" thickBot="1" x14ac:dyDescent="0.25">
      <c r="B57" s="5" t="s">
        <v>82</v>
      </c>
      <c r="C57" s="6">
        <f>+'2001'!C57</f>
        <v>1.0066331324968216</v>
      </c>
      <c r="D57" s="6">
        <f>+'2002'!C57</f>
        <v>0.97802082237879906</v>
      </c>
      <c r="E57" s="6">
        <f>+'2003'!C57</f>
        <v>0.99531794425087106</v>
      </c>
      <c r="F57" s="6">
        <f>+'2004'!C57</f>
        <v>0.98256735340729007</v>
      </c>
      <c r="G57" s="6">
        <f>+'2005'!C57</f>
        <v>1.0056322852385151</v>
      </c>
      <c r="H57" s="6">
        <f>+'2006'!C57</f>
        <v>0.94142322097378273</v>
      </c>
      <c r="I57" s="6">
        <f>+'2007'!C57</f>
        <v>0.95645967166309775</v>
      </c>
      <c r="J57" s="6">
        <f>+'2008'!C57</f>
        <v>0.96834680119648198</v>
      </c>
      <c r="K57" s="6">
        <f>+'2009'!C57</f>
        <v>0.97859338970023058</v>
      </c>
      <c r="L57" s="6">
        <f>+'2010'!C57</f>
        <v>0.99191714195738134</v>
      </c>
      <c r="M57" s="6">
        <f>+'2011'!C57</f>
        <v>0.97743891873158895</v>
      </c>
      <c r="N57" s="6">
        <f>+'2012'!C57</f>
        <v>1.0089519565302374</v>
      </c>
      <c r="O57" s="6">
        <f>+'2013'!C57</f>
        <v>1.0248486032428208</v>
      </c>
      <c r="P57" s="6">
        <f>+'2014'!C57</f>
        <v>0.991746800938896</v>
      </c>
      <c r="Q57" s="6">
        <f>+'2015'!C57</f>
        <v>1.0224209850794159</v>
      </c>
      <c r="R57" s="6">
        <f>+'2016'!C57</f>
        <v>1.0009663483401545</v>
      </c>
      <c r="S57" s="6">
        <f>+'2017'!C57</f>
        <v>0.9451403887688985</v>
      </c>
      <c r="T57" s="6">
        <f>+'2018'!C57</f>
        <v>0.99486721713903148</v>
      </c>
      <c r="U57" s="6">
        <f>+'2019'!C57</f>
        <v>0.94716837704294943</v>
      </c>
      <c r="V57" s="6">
        <f>+'2020'!C57</f>
        <v>0.90766281155297168</v>
      </c>
      <c r="W57" s="6">
        <f>+'2021'!C57</f>
        <v>0.97653021872073165</v>
      </c>
      <c r="X57" s="6">
        <f>+'2022'!D57</f>
        <v>0.88435619735258719</v>
      </c>
    </row>
    <row r="58" spans="2:24" ht="15" thickBot="1" x14ac:dyDescent="0.25">
      <c r="B58" s="5" t="s">
        <v>83</v>
      </c>
      <c r="C58" s="6">
        <f>+'2001'!C58</f>
        <v>0.99823575933323871</v>
      </c>
      <c r="D58" s="6">
        <f>+'2002'!C58</f>
        <v>0.95123653769445549</v>
      </c>
      <c r="E58" s="6">
        <f>+'2003'!C58</f>
        <v>1.0105616898703793</v>
      </c>
      <c r="F58" s="6">
        <f>+'2004'!C58</f>
        <v>1.0037372131543245</v>
      </c>
      <c r="G58" s="6">
        <f>+'2005'!C58</f>
        <v>0.99416955687052155</v>
      </c>
      <c r="H58" s="6">
        <f>+'2006'!C58</f>
        <v>1.0016116261307659</v>
      </c>
      <c r="I58" s="6">
        <f>+'2007'!C58</f>
        <v>0.99513822747617353</v>
      </c>
      <c r="J58" s="6">
        <f>+'2008'!C58</f>
        <v>0.99463435151818291</v>
      </c>
      <c r="K58" s="6">
        <f>+'2009'!C58</f>
        <v>0.9848980890689133</v>
      </c>
      <c r="L58" s="6">
        <f>+'2010'!C58</f>
        <v>1.0078589940487617</v>
      </c>
      <c r="M58" s="6">
        <f>+'2011'!C58</f>
        <v>1.0187530073188644</v>
      </c>
      <c r="N58" s="6">
        <f>+'2012'!C58</f>
        <v>1.0111362642954536</v>
      </c>
      <c r="O58" s="6">
        <f>+'2013'!C58</f>
        <v>1.0143800709134869</v>
      </c>
      <c r="P58" s="6">
        <f>+'2014'!C58</f>
        <v>1.007409916011921</v>
      </c>
      <c r="Q58" s="6">
        <f>+'2015'!C58</f>
        <v>1.0393322292707574</v>
      </c>
      <c r="R58" s="6">
        <f>+'2016'!C58</f>
        <v>1.0033406593406593</v>
      </c>
      <c r="S58" s="6">
        <f>+'2017'!C58</f>
        <v>0.95126375287424769</v>
      </c>
      <c r="T58" s="6">
        <f>+'2018'!C58</f>
        <v>0.95975913696810933</v>
      </c>
      <c r="U58" s="6">
        <f>+'2019'!C58</f>
        <v>1.0090955245200541</v>
      </c>
      <c r="V58" s="6">
        <f>+'2020'!C58</f>
        <v>1.0167175197900442</v>
      </c>
      <c r="W58" s="6">
        <f>+'2021'!C58</f>
        <v>1.0340558671307234</v>
      </c>
      <c r="X58" s="6">
        <f>+'2022'!D58</f>
        <v>0.88556334491693955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DB231-B09C-4CA8-8F58-EEB616F012C7}">
  <dimension ref="B7:G58"/>
  <sheetViews>
    <sheetView workbookViewId="0">
      <selection activeCell="A2" sqref="A2"/>
    </sheetView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f>[651]Tasas!$B$36</f>
        <v>0.9714313880126183</v>
      </c>
      <c r="D9" s="6">
        <f>[651]Tasas!$B$17</f>
        <v>1.0900688655309896</v>
      </c>
      <c r="E9" s="6">
        <f>[651]Tasas!$B$28</f>
        <v>1.0002561475409837</v>
      </c>
      <c r="F9" s="6">
        <f>[651]Tasas!$B$31</f>
        <v>0.55189822294022617</v>
      </c>
      <c r="G9" s="6">
        <f>[651]Tasas!$B$35</f>
        <v>0.93371428571428572</v>
      </c>
    </row>
    <row r="10" spans="2:7" s="8" customFormat="1" ht="20.100000000000001" customHeight="1" thickBot="1" x14ac:dyDescent="0.25">
      <c r="B10" s="5" t="s">
        <v>40</v>
      </c>
      <c r="C10" s="6">
        <f>[652]Tasas!$B$36</f>
        <v>0.96798959925508177</v>
      </c>
      <c r="D10" s="6">
        <f>[652]Tasas!$B$17</f>
        <v>0.91691258443176604</v>
      </c>
      <c r="E10" s="6">
        <f>[652]Tasas!$B$28</f>
        <v>0.99259498613242858</v>
      </c>
      <c r="F10" s="6">
        <f>[652]Tasas!$B$31</f>
        <v>1.0452567449956485</v>
      </c>
      <c r="G10" s="6">
        <f>[652]Tasas!$B$35</f>
        <v>0.90189125295508277</v>
      </c>
    </row>
    <row r="11" spans="2:7" s="8" customFormat="1" ht="20.100000000000001" customHeight="1" thickBot="1" x14ac:dyDescent="0.25">
      <c r="B11" s="5" t="s">
        <v>41</v>
      </c>
      <c r="C11" s="6">
        <f>[653]Tasas!$B$36</f>
        <v>0.93419038498747242</v>
      </c>
      <c r="D11" s="6">
        <f>[653]Tasas!$B$17</f>
        <v>0.7919005701055023</v>
      </c>
      <c r="E11" s="6">
        <f>[653]Tasas!$B$28</f>
        <v>0.99257729998438038</v>
      </c>
      <c r="F11" s="6">
        <f>[653]Tasas!$B$31</f>
        <v>0.84935654806964422</v>
      </c>
      <c r="G11" s="6">
        <f>[653]Tasas!$B$35</f>
        <v>0.71482508406583678</v>
      </c>
    </row>
    <row r="12" spans="2:7" s="8" customFormat="1" ht="20.100000000000001" customHeight="1" thickBot="1" x14ac:dyDescent="0.25">
      <c r="B12" s="5" t="s">
        <v>42</v>
      </c>
      <c r="C12" s="6">
        <f>[654]Tasas!$B$36</f>
        <v>0.90868092146264634</v>
      </c>
      <c r="D12" s="6">
        <f>[654]Tasas!$B$17</f>
        <v>0.72019068658798902</v>
      </c>
      <c r="E12" s="6">
        <f>[654]Tasas!$B$28</f>
        <v>0.97555128350107434</v>
      </c>
      <c r="F12" s="6">
        <f>[654]Tasas!$B$31</f>
        <v>0.54797106008178675</v>
      </c>
      <c r="G12" s="6">
        <f>[654]Tasas!$B$35</f>
        <v>0.71128107074569791</v>
      </c>
    </row>
    <row r="13" spans="2:7" s="8" customFormat="1" ht="20.100000000000001" customHeight="1" thickBot="1" x14ac:dyDescent="0.25">
      <c r="B13" s="5" t="s">
        <v>43</v>
      </c>
      <c r="C13" s="6">
        <f>[655]Tasas!$B$36</f>
        <v>0.95392470217093517</v>
      </c>
      <c r="D13" s="6">
        <f>[655]Tasas!$B$17</f>
        <v>1.0043531255441407</v>
      </c>
      <c r="E13" s="6">
        <f>[655]Tasas!$B$28</f>
        <v>0.93594427951587122</v>
      </c>
      <c r="F13" s="6">
        <f>[655]Tasas!$B$31</f>
        <v>0.96010638297872342</v>
      </c>
      <c r="G13" s="6">
        <f>[655]Tasas!$B$35</f>
        <v>1.0043859649122806</v>
      </c>
    </row>
    <row r="14" spans="2:7" s="8" customFormat="1" ht="20.100000000000001" customHeight="1" thickBot="1" x14ac:dyDescent="0.25">
      <c r="B14" s="5" t="s">
        <v>44</v>
      </c>
      <c r="C14" s="6">
        <f>[656]Tasas!$B$36</f>
        <v>0.96443840056630314</v>
      </c>
      <c r="D14" s="6">
        <f>[656]Tasas!$B$17</f>
        <v>0.91012867572909528</v>
      </c>
      <c r="E14" s="6">
        <f>[656]Tasas!$B$28</f>
        <v>0.98648420998069175</v>
      </c>
      <c r="F14" s="6">
        <f>[656]Tasas!$B$31</f>
        <v>1.1165644171779141</v>
      </c>
      <c r="G14" s="6">
        <f>[656]Tasas!$B$35</f>
        <v>0.7905817174515235</v>
      </c>
    </row>
    <row r="15" spans="2:7" s="8" customFormat="1" ht="20.100000000000001" customHeight="1" thickBot="1" x14ac:dyDescent="0.25">
      <c r="B15" s="5" t="s">
        <v>45</v>
      </c>
      <c r="C15" s="6">
        <f>[657]Tasas!$B$36</f>
        <v>0.95962437933005906</v>
      </c>
      <c r="D15" s="6">
        <f>[657]Tasas!$B$17</f>
        <v>0.86759615384615385</v>
      </c>
      <c r="E15" s="6">
        <f>[657]Tasas!$B$28</f>
        <v>1.0021277525068168</v>
      </c>
      <c r="F15" s="6">
        <f>[657]Tasas!$B$31</f>
        <v>0.73253833049403749</v>
      </c>
      <c r="G15" s="6">
        <f>[657]Tasas!$B$35</f>
        <v>0.76129117959617432</v>
      </c>
    </row>
    <row r="16" spans="2:7" s="8" customFormat="1" ht="20.100000000000001" customHeight="1" thickBot="1" x14ac:dyDescent="0.25">
      <c r="B16" s="5" t="s">
        <v>46</v>
      </c>
      <c r="C16" s="6">
        <f>[658]Tasas!$B$36</f>
        <v>0.97526843789378981</v>
      </c>
      <c r="D16" s="6">
        <f>[658]Tasas!$B$17</f>
        <v>0.91072158731863262</v>
      </c>
      <c r="E16" s="6">
        <f>[658]Tasas!$B$28</f>
        <v>1.0044541306272561</v>
      </c>
      <c r="F16" s="6">
        <f>[658]Tasas!$B$31</f>
        <v>0.97810041365885314</v>
      </c>
      <c r="G16" s="6">
        <f>[658]Tasas!$B$35</f>
        <v>0.86259247097908176</v>
      </c>
    </row>
    <row r="17" spans="2:7" s="8" customFormat="1" ht="20.100000000000001" customHeight="1" thickBot="1" x14ac:dyDescent="0.25">
      <c r="B17" s="5" t="s">
        <v>47</v>
      </c>
      <c r="C17" s="6">
        <f>[659]Tasas!$B$36</f>
        <v>0.98560632192919184</v>
      </c>
      <c r="D17" s="6">
        <f>[659]Tasas!$B$17</f>
        <v>1.0018609267415173</v>
      </c>
      <c r="E17" s="6">
        <f>[659]Tasas!$B$28</f>
        <v>0.98392507688006714</v>
      </c>
      <c r="F17" s="6">
        <f>[659]Tasas!$B$31</f>
        <v>0.91808650065530795</v>
      </c>
      <c r="G17" s="6">
        <f>[659]Tasas!$B$35</f>
        <v>0.95852821951980038</v>
      </c>
    </row>
    <row r="18" spans="2:7" s="8" customFormat="1" ht="20.100000000000001" customHeight="1" thickBot="1" x14ac:dyDescent="0.25">
      <c r="B18" s="5" t="s">
        <v>48</v>
      </c>
      <c r="C18" s="6">
        <f>[660]Tasas!$B$36</f>
        <v>0.98117116117338066</v>
      </c>
      <c r="D18" s="6">
        <f>[660]Tasas!$B$17</f>
        <v>0.96006402561024407</v>
      </c>
      <c r="E18" s="6">
        <f>[660]Tasas!$B$28</f>
        <v>0.99604815017029358</v>
      </c>
      <c r="F18" s="6">
        <f>[660]Tasas!$B$31</f>
        <v>0.91314285714285715</v>
      </c>
      <c r="G18" s="6">
        <f>[660]Tasas!$B$35</f>
        <v>0.86968204209583522</v>
      </c>
    </row>
    <row r="19" spans="2:7" s="8" customFormat="1" ht="20.100000000000001" customHeight="1" thickBot="1" x14ac:dyDescent="0.25">
      <c r="B19" s="5" t="s">
        <v>49</v>
      </c>
      <c r="C19" s="6">
        <f>[661]Tasas!$B$36</f>
        <v>0.9594973390395275</v>
      </c>
      <c r="D19" s="6">
        <f>[661]Tasas!$B$17</f>
        <v>0.90502545043225335</v>
      </c>
      <c r="E19" s="6">
        <f>[661]Tasas!$B$28</f>
        <v>0.99599872907141429</v>
      </c>
      <c r="F19" s="6">
        <f>[661]Tasas!$B$31</f>
        <v>0.65004393673110716</v>
      </c>
      <c r="G19" s="6">
        <f>[661]Tasas!$B$35</f>
        <v>0.81888975414395371</v>
      </c>
    </row>
    <row r="20" spans="2:7" s="8" customFormat="1" ht="20.100000000000001" customHeight="1" thickBot="1" x14ac:dyDescent="0.25">
      <c r="B20" s="5" t="s">
        <v>50</v>
      </c>
      <c r="C20" s="6">
        <f>[662]Tasas!$B$36</f>
        <v>0.90244621023716887</v>
      </c>
      <c r="D20" s="6">
        <f>[662]Tasas!$B$17</f>
        <v>0.78574897212599959</v>
      </c>
      <c r="E20" s="6">
        <f>[662]Tasas!$B$28</f>
        <v>0.96830999776923377</v>
      </c>
      <c r="F20" s="6">
        <f>[662]Tasas!$B$31</f>
        <v>0.65534382767191379</v>
      </c>
      <c r="G20" s="6">
        <f>[662]Tasas!$B$35</f>
        <v>0.76361785168844387</v>
      </c>
    </row>
    <row r="21" spans="2:7" s="8" customFormat="1" ht="20.100000000000001" customHeight="1" thickBot="1" x14ac:dyDescent="0.25">
      <c r="B21" s="5" t="s">
        <v>51</v>
      </c>
      <c r="C21" s="6">
        <f>[663]Tasas!$B$36</f>
        <v>0.91909332601070937</v>
      </c>
      <c r="D21" s="6">
        <f>[663]Tasas!$B$17</f>
        <v>0.85338528981977591</v>
      </c>
      <c r="E21" s="6">
        <f>[663]Tasas!$B$28</f>
        <v>0.95598746523009748</v>
      </c>
      <c r="F21" s="6">
        <f>[663]Tasas!$B$31</f>
        <v>0.79532814238042271</v>
      </c>
      <c r="G21" s="6">
        <f>[663]Tasas!$B$35</f>
        <v>0.72353389185072359</v>
      </c>
    </row>
    <row r="22" spans="2:7" s="8" customFormat="1" ht="15" thickBot="1" x14ac:dyDescent="0.25">
      <c r="B22" s="5" t="s">
        <v>52</v>
      </c>
      <c r="C22" s="6">
        <f>[664]Tasas!$B$36</f>
        <v>0.95689444843753091</v>
      </c>
      <c r="D22" s="6">
        <f>[664]Tasas!$B$17</f>
        <v>0.90533522971587344</v>
      </c>
      <c r="E22" s="6">
        <f>[664]Tasas!$B$28</f>
        <v>0.99812348886723679</v>
      </c>
      <c r="F22" s="6">
        <f>[664]Tasas!$B$31</f>
        <v>0.64978902953586493</v>
      </c>
      <c r="G22" s="6">
        <f>[664]Tasas!$B$35</f>
        <v>0.68722257450856061</v>
      </c>
    </row>
    <row r="23" spans="2:7" s="8" customFormat="1" ht="20.100000000000001" customHeight="1" thickBot="1" x14ac:dyDescent="0.25">
      <c r="B23" s="5" t="s">
        <v>53</v>
      </c>
      <c r="C23" s="6">
        <f>[665]Tasas!$B$36</f>
        <v>0.96736923701598321</v>
      </c>
      <c r="D23" s="6">
        <f>[665]Tasas!$B$17</f>
        <v>0.96542990735128587</v>
      </c>
      <c r="E23" s="6">
        <f>[665]Tasas!$B$28</f>
        <v>0.98827091014942747</v>
      </c>
      <c r="F23" s="6">
        <f>[665]Tasas!$B$31</f>
        <v>0.83865546218487397</v>
      </c>
      <c r="G23" s="6">
        <f>[665]Tasas!$B$35</f>
        <v>0.76959142665773606</v>
      </c>
    </row>
    <row r="24" spans="2:7" s="8" customFormat="1" ht="20.100000000000001" customHeight="1" thickBot="1" x14ac:dyDescent="0.25">
      <c r="B24" s="5" t="s">
        <v>54</v>
      </c>
      <c r="C24" s="6">
        <f>[666]Tasas!$B$36</f>
        <v>0.96940750452644064</v>
      </c>
      <c r="D24" s="6">
        <f>[666]Tasas!$B$17</f>
        <v>0.90141494924638577</v>
      </c>
      <c r="E24" s="6">
        <f>[666]Tasas!$B$28</f>
        <v>0.99576004365895643</v>
      </c>
      <c r="F24" s="6">
        <f>[666]Tasas!$B$31</f>
        <v>0.82768777614138433</v>
      </c>
      <c r="G24" s="6">
        <f>[666]Tasas!$B$35</f>
        <v>0.88275193798449614</v>
      </c>
    </row>
    <row r="25" spans="2:7" s="8" customFormat="1" ht="20.100000000000001" customHeight="1" thickBot="1" x14ac:dyDescent="0.25">
      <c r="B25" s="5" t="s">
        <v>55</v>
      </c>
      <c r="C25" s="6">
        <f>[667]Tasas!$B$36</f>
        <v>0.98156234477748039</v>
      </c>
      <c r="D25" s="6">
        <f>[667]Tasas!$B$17</f>
        <v>0.90698766514307183</v>
      </c>
      <c r="E25" s="6">
        <f>[667]Tasas!$B$28</f>
        <v>1.0178491744756806</v>
      </c>
      <c r="F25" s="6">
        <f>[667]Tasas!$B$31</f>
        <v>0.90935114503816794</v>
      </c>
      <c r="G25" s="6">
        <f>[667]Tasas!$B$35</f>
        <v>0.76683013820775747</v>
      </c>
    </row>
    <row r="26" spans="2:7" s="8" customFormat="1" ht="20.100000000000001" customHeight="1" thickBot="1" x14ac:dyDescent="0.25">
      <c r="B26" s="5" t="s">
        <v>56</v>
      </c>
      <c r="C26" s="6">
        <f>[668]Tasas!$B$36</f>
        <v>0.97732216825103557</v>
      </c>
      <c r="D26" s="6">
        <f>[668]Tasas!$B$17</f>
        <v>0.93919973513692478</v>
      </c>
      <c r="E26" s="6">
        <f>[668]Tasas!$B$28</f>
        <v>1.0015029406593656</v>
      </c>
      <c r="F26" s="6">
        <f>[668]Tasas!$B$31</f>
        <v>0.70847161572052397</v>
      </c>
      <c r="G26" s="6">
        <f>[668]Tasas!$B$35</f>
        <v>0.87205450932147255</v>
      </c>
    </row>
    <row r="27" spans="2:7" ht="15" thickBot="1" x14ac:dyDescent="0.25">
      <c r="B27" s="5" t="s">
        <v>57</v>
      </c>
      <c r="C27" s="6">
        <f>[669]Tasas!$B$36</f>
        <v>0.95806905459326064</v>
      </c>
      <c r="D27" s="6">
        <f>[669]Tasas!$B$17</f>
        <v>0.75972911102632579</v>
      </c>
      <c r="E27" s="6">
        <f>[669]Tasas!$B$28</f>
        <v>1.0389579185830988</v>
      </c>
      <c r="F27" s="6">
        <f>[669]Tasas!$B$31</f>
        <v>1.1370023419203747</v>
      </c>
      <c r="G27" s="6">
        <f>[669]Tasas!$B$35</f>
        <v>0.80901213171577124</v>
      </c>
    </row>
    <row r="28" spans="2:7" ht="15" thickBot="1" x14ac:dyDescent="0.25">
      <c r="B28" s="5" t="s">
        <v>58</v>
      </c>
      <c r="C28" s="6">
        <f>[670]Tasas!$B$36</f>
        <v>0.9607467687888942</v>
      </c>
      <c r="D28" s="6">
        <f>[670]Tasas!$B$17</f>
        <v>0.95199789695057835</v>
      </c>
      <c r="E28" s="6">
        <f>[670]Tasas!$B$28</f>
        <v>0.98999523582658411</v>
      </c>
      <c r="F28" s="6">
        <f>[670]Tasas!$B$31</f>
        <v>0.56808974758491737</v>
      </c>
      <c r="G28" s="6">
        <f>[670]Tasas!$B$35</f>
        <v>0.88443294523501514</v>
      </c>
    </row>
    <row r="29" spans="2:7" ht="15" thickBot="1" x14ac:dyDescent="0.25">
      <c r="B29" s="5" t="s">
        <v>59</v>
      </c>
      <c r="C29" s="6">
        <f>[671]Tasas!$B$36</f>
        <v>0.97555370900399063</v>
      </c>
      <c r="D29" s="6">
        <f>[671]Tasas!$B$17</f>
        <v>0.91061982233755867</v>
      </c>
      <c r="E29" s="6">
        <f>[671]Tasas!$B$28</f>
        <v>1.0141667966589616</v>
      </c>
      <c r="F29" s="6">
        <f>[671]Tasas!$B$31</f>
        <v>0.76752767527675281</v>
      </c>
      <c r="G29" s="6">
        <f>[671]Tasas!$B$35</f>
        <v>0.77260348583877991</v>
      </c>
    </row>
    <row r="30" spans="2:7" ht="15" thickBot="1" x14ac:dyDescent="0.25">
      <c r="B30" s="5" t="s">
        <v>60</v>
      </c>
      <c r="C30" s="6">
        <f>[672]Tasas!$B$36</f>
        <v>0.94803326871365146</v>
      </c>
      <c r="D30" s="6">
        <f>[672]Tasas!$B$17</f>
        <v>0.8476276343964837</v>
      </c>
      <c r="E30" s="6">
        <f>[672]Tasas!$B$28</f>
        <v>1.0016264696314885</v>
      </c>
      <c r="F30" s="6">
        <f>[672]Tasas!$B$31</f>
        <v>0.85648148148148151</v>
      </c>
      <c r="G30" s="6">
        <f>[672]Tasas!$B$35</f>
        <v>0.73248407643312097</v>
      </c>
    </row>
    <row r="31" spans="2:7" ht="15" thickBot="1" x14ac:dyDescent="0.25">
      <c r="B31" s="5" t="s">
        <v>61</v>
      </c>
      <c r="C31" s="6">
        <f>[673]Tasas!$B$36</f>
        <v>0.97401075346197741</v>
      </c>
      <c r="D31" s="6">
        <f>[673]Tasas!$B$17</f>
        <v>0.93581303489137591</v>
      </c>
      <c r="E31" s="6">
        <f>[673]Tasas!$B$28</f>
        <v>0.9855902238397467</v>
      </c>
      <c r="F31" s="6">
        <f>[673]Tasas!$B$31</f>
        <v>1.0312800769971127</v>
      </c>
      <c r="G31" s="6">
        <f>[673]Tasas!$B$35</f>
        <v>0.98209951456310685</v>
      </c>
    </row>
    <row r="32" spans="2:7" ht="15" thickBot="1" x14ac:dyDescent="0.25">
      <c r="B32" s="5" t="s">
        <v>62</v>
      </c>
      <c r="C32" s="6">
        <f>[674]Tasas!$B$36</f>
        <v>0.95759244961222445</v>
      </c>
      <c r="D32" s="6">
        <f>[674]Tasas!$B$17</f>
        <v>0.99833487511563368</v>
      </c>
      <c r="E32" s="6">
        <f>[674]Tasas!$B$28</f>
        <v>0.9615179600048146</v>
      </c>
      <c r="F32" s="6">
        <f>[674]Tasas!$B$31</f>
        <v>0.69863861386138615</v>
      </c>
      <c r="G32" s="6">
        <f>[674]Tasas!$B$35</f>
        <v>0.8293090638930164</v>
      </c>
    </row>
    <row r="33" spans="2:7" ht="15" thickBot="1" x14ac:dyDescent="0.25">
      <c r="B33" s="5" t="s">
        <v>63</v>
      </c>
      <c r="C33" s="6">
        <f>[675]Tasas!$B$36</f>
        <v>0.94044584006964305</v>
      </c>
      <c r="D33" s="6">
        <f>[675]Tasas!$B$17</f>
        <v>0.87883194694898492</v>
      </c>
      <c r="E33" s="6">
        <f>[675]Tasas!$B$28</f>
        <v>0.97493576161925799</v>
      </c>
      <c r="F33" s="6">
        <f>[675]Tasas!$B$31</f>
        <v>0.69221411192214111</v>
      </c>
      <c r="G33" s="6">
        <f>[675]Tasas!$B$35</f>
        <v>0.80348896870189845</v>
      </c>
    </row>
    <row r="34" spans="2:7" ht="15" thickBot="1" x14ac:dyDescent="0.25">
      <c r="B34" s="5" t="s">
        <v>64</v>
      </c>
      <c r="C34" s="6">
        <f>[676]Tasas!$B$36</f>
        <v>1.0081378858950583</v>
      </c>
      <c r="D34" s="6">
        <f>[676]Tasas!$B$17</f>
        <v>1.0390822340724108</v>
      </c>
      <c r="E34" s="6">
        <f>[676]Tasas!$B$28</f>
        <v>0.99238222024998146</v>
      </c>
      <c r="F34" s="6">
        <f>[676]Tasas!$B$31</f>
        <v>1.5315005727376862</v>
      </c>
      <c r="G34" s="6">
        <f>[676]Tasas!$B$35</f>
        <v>0.87949836423118866</v>
      </c>
    </row>
    <row r="35" spans="2:7" ht="15" thickBot="1" x14ac:dyDescent="0.25">
      <c r="B35" s="5" t="s">
        <v>65</v>
      </c>
      <c r="C35" s="6">
        <f>[677]Tasas!$B$36</f>
        <v>0.98001950328858645</v>
      </c>
      <c r="D35" s="6">
        <f>[677]Tasas!$B$17</f>
        <v>0.98932747390724318</v>
      </c>
      <c r="E35" s="6">
        <f>[677]Tasas!$B$28</f>
        <v>0.98240385529945151</v>
      </c>
      <c r="F35" s="6">
        <f>[677]Tasas!$B$31</f>
        <v>0.98258977149075077</v>
      </c>
      <c r="G35" s="6">
        <f>[677]Tasas!$B$35</f>
        <v>0.91449565798263188</v>
      </c>
    </row>
    <row r="36" spans="2:7" ht="15" thickBot="1" x14ac:dyDescent="0.25">
      <c r="B36" s="5" t="s">
        <v>32</v>
      </c>
      <c r="C36" s="6">
        <f>[678]Tasas!$B$36</f>
        <v>0.95620196130400215</v>
      </c>
      <c r="D36" s="6">
        <f>[678]Tasas!$B$17</f>
        <v>0.87902782321780348</v>
      </c>
      <c r="E36" s="6">
        <f>[678]Tasas!$B$28</f>
        <v>0.99437358150229438</v>
      </c>
      <c r="F36" s="6">
        <f>[678]Tasas!$B$31</f>
        <v>0.92048914882304611</v>
      </c>
      <c r="G36" s="6">
        <f>[678]Tasas!$B$35</f>
        <v>0.73056137474572669</v>
      </c>
    </row>
    <row r="37" spans="2:7" ht="15" thickBot="1" x14ac:dyDescent="0.25">
      <c r="B37" s="5" t="s">
        <v>66</v>
      </c>
      <c r="C37" s="6">
        <f>[679]Tasas!$B$36</f>
        <v>0.97333006837415592</v>
      </c>
      <c r="D37" s="6">
        <f>[679]Tasas!$B$17</f>
        <v>0.87855919255521087</v>
      </c>
      <c r="E37" s="6">
        <f>[679]Tasas!$B$28</f>
        <v>1.0150392448970516</v>
      </c>
      <c r="F37" s="6">
        <f>[679]Tasas!$B$31</f>
        <v>0.83793062625784298</v>
      </c>
      <c r="G37" s="6">
        <f>[679]Tasas!$B$35</f>
        <v>0.67592495545540299</v>
      </c>
    </row>
    <row r="38" spans="2:7" ht="15" thickBot="1" x14ac:dyDescent="0.25">
      <c r="B38" s="5" t="s">
        <v>33</v>
      </c>
      <c r="C38" s="6">
        <f>[680]Tasas!$B$36</f>
        <v>0.94315863452445126</v>
      </c>
      <c r="D38" s="6">
        <f>[680]Tasas!$B$17</f>
        <v>0.83685755135826623</v>
      </c>
      <c r="E38" s="6">
        <f>[680]Tasas!$B$28</f>
        <v>0.99645032190708194</v>
      </c>
      <c r="F38" s="6">
        <f>[680]Tasas!$B$31</f>
        <v>1.1091465961297509</v>
      </c>
      <c r="G38" s="6">
        <f>[680]Tasas!$B$35</f>
        <v>0.67880704432691785</v>
      </c>
    </row>
    <row r="39" spans="2:7" ht="15" thickBot="1" x14ac:dyDescent="0.25">
      <c r="B39" s="5" t="s">
        <v>34</v>
      </c>
      <c r="C39" s="6">
        <f>[681]Tasas!$B$36</f>
        <v>0.97393564408527478</v>
      </c>
      <c r="D39" s="6">
        <f>[681]Tasas!$B$17</f>
        <v>0.91588306489153715</v>
      </c>
      <c r="E39" s="6">
        <f>[681]Tasas!$B$28</f>
        <v>1.0018370642528038</v>
      </c>
      <c r="F39" s="6">
        <f>[681]Tasas!$B$31</f>
        <v>0.79724137931034478</v>
      </c>
      <c r="G39" s="6">
        <f>[681]Tasas!$B$35</f>
        <v>0.90897369778236203</v>
      </c>
    </row>
    <row r="40" spans="2:7" ht="15" thickBot="1" x14ac:dyDescent="0.25">
      <c r="B40" s="5" t="s">
        <v>67</v>
      </c>
      <c r="C40" s="6">
        <f>[682]Tasas!$B$36</f>
        <v>0.95704939010546741</v>
      </c>
      <c r="D40" s="6">
        <f>[682]Tasas!$B$17</f>
        <v>0.9538407637733205</v>
      </c>
      <c r="E40" s="6">
        <f>[682]Tasas!$B$28</f>
        <v>0.95732081492390775</v>
      </c>
      <c r="F40" s="6">
        <f>[682]Tasas!$B$31</f>
        <v>0.94758478931140799</v>
      </c>
      <c r="G40" s="6">
        <f>[682]Tasas!$B$35</f>
        <v>0.96771403862784666</v>
      </c>
    </row>
    <row r="41" spans="2:7" ht="15" thickBot="1" x14ac:dyDescent="0.25">
      <c r="B41" s="5" t="s">
        <v>31</v>
      </c>
      <c r="C41" s="6">
        <f>[683]Tasas!$B$36</f>
        <v>1.013453441461968</v>
      </c>
      <c r="D41" s="6">
        <f>[683]Tasas!$B$17</f>
        <v>1.0314252437235787</v>
      </c>
      <c r="E41" s="6">
        <f>[683]Tasas!$B$28</f>
        <v>1.0140083012155352</v>
      </c>
      <c r="F41" s="6">
        <f>[683]Tasas!$B$31</f>
        <v>1.0567213114754099</v>
      </c>
      <c r="G41" s="6">
        <f>[683]Tasas!$B$35</f>
        <v>0.93424001236380494</v>
      </c>
    </row>
    <row r="42" spans="2:7" ht="15" thickBot="1" x14ac:dyDescent="0.25">
      <c r="B42" s="5" t="s">
        <v>68</v>
      </c>
      <c r="C42" s="6">
        <f>[684]Tasas!$B$36</f>
        <v>1.0050363738108561</v>
      </c>
      <c r="D42" s="6">
        <f>[684]Tasas!$B$17</f>
        <v>1.024254005585771</v>
      </c>
      <c r="E42" s="6">
        <f>[684]Tasas!$B$28</f>
        <v>1.0079178586023703</v>
      </c>
      <c r="F42" s="6">
        <f>[684]Tasas!$B$31</f>
        <v>0.87398843930635839</v>
      </c>
      <c r="G42" s="6">
        <f>[684]Tasas!$B$35</f>
        <v>0.95029673590504449</v>
      </c>
    </row>
    <row r="43" spans="2:7" ht="15" thickBot="1" x14ac:dyDescent="0.25">
      <c r="B43" s="5" t="s">
        <v>69</v>
      </c>
      <c r="C43" s="6">
        <f>[685]Tasas!$B$36</f>
        <v>0.97760659786908921</v>
      </c>
      <c r="D43" s="6">
        <f>[685]Tasas!$B$17</f>
        <v>0.88020045067769814</v>
      </c>
      <c r="E43" s="6">
        <f>[685]Tasas!$B$28</f>
        <v>1.0031549274740046</v>
      </c>
      <c r="F43" s="6">
        <f>[685]Tasas!$B$31</f>
        <v>1.0040453074433657</v>
      </c>
      <c r="G43" s="6">
        <f>[685]Tasas!$B$35</f>
        <v>1.0835890593729154</v>
      </c>
    </row>
    <row r="44" spans="2:7" ht="15" thickBot="1" x14ac:dyDescent="0.25">
      <c r="B44" s="5" t="s">
        <v>70</v>
      </c>
      <c r="C44" s="6">
        <f>[686]Tasas!$B$36</f>
        <v>0.98259928986291067</v>
      </c>
      <c r="D44" s="6">
        <f>[686]Tasas!$B$17</f>
        <v>0.93534925087227205</v>
      </c>
      <c r="E44" s="6">
        <f>[686]Tasas!$B$28</f>
        <v>1.0026156800449131</v>
      </c>
      <c r="F44" s="6">
        <f>[686]Tasas!$B$31</f>
        <v>0.91055662188099806</v>
      </c>
      <c r="G44" s="6">
        <f>[686]Tasas!$B$35</f>
        <v>0.88952502120441057</v>
      </c>
    </row>
    <row r="45" spans="2:7" ht="15" thickBot="1" x14ac:dyDescent="0.25">
      <c r="B45" s="5" t="s">
        <v>71</v>
      </c>
      <c r="C45" s="6">
        <f>[687]Tasas!$B$36</f>
        <v>1.02490088791324</v>
      </c>
      <c r="D45" s="6">
        <f>[687]Tasas!$B$17</f>
        <v>1.0180689763532091</v>
      </c>
      <c r="E45" s="6">
        <f>[687]Tasas!$B$28</f>
        <v>1.0342835558913057</v>
      </c>
      <c r="F45" s="6">
        <f>[687]Tasas!$B$31</f>
        <v>1.0411483253588516</v>
      </c>
      <c r="G45" s="6">
        <f>[687]Tasas!$B$35</f>
        <v>0.86908447589562143</v>
      </c>
    </row>
    <row r="46" spans="2:7" ht="15" thickBot="1" x14ac:dyDescent="0.25">
      <c r="B46" s="5" t="s">
        <v>72</v>
      </c>
      <c r="C46" s="6">
        <f>[688]Tasas!$B$36</f>
        <v>0.97285035287339772</v>
      </c>
      <c r="D46" s="6">
        <f>[688]Tasas!$B$17</f>
        <v>0.83341954480343783</v>
      </c>
      <c r="E46" s="6">
        <f>[688]Tasas!$B$28</f>
        <v>1.0157933811784292</v>
      </c>
      <c r="F46" s="6">
        <f>[688]Tasas!$B$31</f>
        <v>0.93711790393013106</v>
      </c>
      <c r="G46" s="6">
        <f>[688]Tasas!$B$35</f>
        <v>1.1332470892626132</v>
      </c>
    </row>
    <row r="47" spans="2:7" ht="15" thickBot="1" x14ac:dyDescent="0.25">
      <c r="B47" s="5" t="s">
        <v>5</v>
      </c>
      <c r="C47" s="6">
        <f>[689]Tasas!$B$36</f>
        <v>0.96197033030079504</v>
      </c>
      <c r="D47" s="6">
        <f>[689]Tasas!$B$17</f>
        <v>0.94533472077696845</v>
      </c>
      <c r="E47" s="6">
        <f>[689]Tasas!$B$28</f>
        <v>0.98479187061370244</v>
      </c>
      <c r="F47" s="6">
        <f>[689]Tasas!$B$31</f>
        <v>0.82936668011294878</v>
      </c>
      <c r="G47" s="6">
        <f>[689]Tasas!$B$35</f>
        <v>0.82019085886489207</v>
      </c>
    </row>
    <row r="48" spans="2:7" ht="15" thickBot="1" x14ac:dyDescent="0.25">
      <c r="B48" s="5" t="s">
        <v>73</v>
      </c>
      <c r="C48" s="6">
        <f>[690]Tasas!$B$36</f>
        <v>0.97368961973278523</v>
      </c>
      <c r="D48" s="6">
        <f>[690]Tasas!$B$17</f>
        <v>0.92041467304625202</v>
      </c>
      <c r="E48" s="6">
        <f>[690]Tasas!$B$28</f>
        <v>0.99599138446811053</v>
      </c>
      <c r="F48" s="6">
        <f>[690]Tasas!$B$31</f>
        <v>0.99599198396793587</v>
      </c>
      <c r="G48" s="6">
        <f>[690]Tasas!$B$35</f>
        <v>0.91448931116389554</v>
      </c>
    </row>
    <row r="49" spans="2:7" ht="15" thickBot="1" x14ac:dyDescent="0.25">
      <c r="B49" s="5" t="s">
        <v>74</v>
      </c>
      <c r="C49" s="6">
        <f>[691]Tasas!$B$36</f>
        <v>0.96527279612203087</v>
      </c>
      <c r="D49" s="6">
        <f>[691]Tasas!$B$17</f>
        <v>0.85377761348137005</v>
      </c>
      <c r="E49" s="6">
        <f>[691]Tasas!$B$28</f>
        <v>1.0022370671491956</v>
      </c>
      <c r="F49" s="6">
        <f>[691]Tasas!$B$31</f>
        <v>0.8250705360741637</v>
      </c>
      <c r="G49" s="6">
        <f>[691]Tasas!$B$35</f>
        <v>0.83776860680233389</v>
      </c>
    </row>
    <row r="50" spans="2:7" ht="15" thickBot="1" x14ac:dyDescent="0.25">
      <c r="B50" s="5" t="s">
        <v>75</v>
      </c>
      <c r="C50" s="6">
        <f>[692]Tasas!$B$36</f>
        <v>0.95791644390132136</v>
      </c>
      <c r="D50" s="6">
        <f>[692]Tasas!$B$17</f>
        <v>0.97479467572925516</v>
      </c>
      <c r="E50" s="6">
        <f>[692]Tasas!$B$28</f>
        <v>0.94264168190127973</v>
      </c>
      <c r="F50" s="6">
        <f>[692]Tasas!$B$31</f>
        <v>1.3585526315789473</v>
      </c>
      <c r="G50" s="6">
        <f>[692]Tasas!$B$35</f>
        <v>0.86363636363636365</v>
      </c>
    </row>
    <row r="51" spans="2:7" ht="15" thickBot="1" x14ac:dyDescent="0.25">
      <c r="B51" s="5" t="s">
        <v>76</v>
      </c>
      <c r="C51" s="6">
        <f>[693]Tasas!$B$36</f>
        <v>0.97928534134307954</v>
      </c>
      <c r="D51" s="6">
        <f>[693]Tasas!$B$17</f>
        <v>0.91533406061251099</v>
      </c>
      <c r="E51" s="6">
        <f>[693]Tasas!$B$28</f>
        <v>1.0102476042762976</v>
      </c>
      <c r="F51" s="6">
        <f>[693]Tasas!$B$31</f>
        <v>0.8693140794223827</v>
      </c>
      <c r="G51" s="6">
        <f>[693]Tasas!$B$35</f>
        <v>0.71425781249999998</v>
      </c>
    </row>
    <row r="52" spans="2:7" ht="15" thickBot="1" x14ac:dyDescent="0.25">
      <c r="B52" s="5" t="s">
        <v>77</v>
      </c>
      <c r="C52" s="6">
        <f>[694]Tasas!$B$36</f>
        <v>0.94668796106167774</v>
      </c>
      <c r="D52" s="6">
        <f>[694]Tasas!$B$17</f>
        <v>0.90703597580388406</v>
      </c>
      <c r="E52" s="6">
        <f>[694]Tasas!$B$28</f>
        <v>0.94655905769440507</v>
      </c>
      <c r="F52" s="6">
        <f>[694]Tasas!$B$31</f>
        <v>1.0669456066945606</v>
      </c>
      <c r="G52" s="6">
        <f>[694]Tasas!$B$35</f>
        <v>1.1083333333333334</v>
      </c>
    </row>
    <row r="53" spans="2:7" ht="15" thickBot="1" x14ac:dyDescent="0.25">
      <c r="B53" s="5" t="s">
        <v>78</v>
      </c>
      <c r="C53" s="6">
        <f>[695]Tasas!$B$36</f>
        <v>0.86189403584369795</v>
      </c>
      <c r="D53" s="6">
        <f>[695]Tasas!$B$17</f>
        <v>0.73011374975054877</v>
      </c>
      <c r="E53" s="6">
        <f>[695]Tasas!$B$28</f>
        <v>0.92267027643203192</v>
      </c>
      <c r="F53" s="6">
        <f>[695]Tasas!$B$31</f>
        <v>0.77065217391304353</v>
      </c>
      <c r="G53" s="6">
        <f>[695]Tasas!$B$35</f>
        <v>0.70387288977159879</v>
      </c>
    </row>
    <row r="54" spans="2:7" ht="15" thickBot="1" x14ac:dyDescent="0.25">
      <c r="B54" s="5" t="s">
        <v>79</v>
      </c>
      <c r="C54" s="6">
        <f>[696]Tasas!$B$36</f>
        <v>0.93203005564590213</v>
      </c>
      <c r="D54" s="6">
        <f>[696]Tasas!$B$17</f>
        <v>0.8662416275077176</v>
      </c>
      <c r="E54" s="6">
        <f>[696]Tasas!$B$28</f>
        <v>0.97713124841686727</v>
      </c>
      <c r="F54" s="6">
        <f>[696]Tasas!$B$31</f>
        <v>0.93182225407633046</v>
      </c>
      <c r="G54" s="6">
        <f>[696]Tasas!$B$35</f>
        <v>0.59372206928604632</v>
      </c>
    </row>
    <row r="55" spans="2:7" ht="15" thickBot="1" x14ac:dyDescent="0.25">
      <c r="B55" s="5" t="s">
        <v>80</v>
      </c>
      <c r="C55" s="6">
        <f>[697]Tasas!$B$36</f>
        <v>0.9843334044467531</v>
      </c>
      <c r="D55" s="6">
        <f>[697]Tasas!$B$17</f>
        <v>0.9285456224158003</v>
      </c>
      <c r="E55" s="6">
        <f>[697]Tasas!$B$28</f>
        <v>1.0176501650165017</v>
      </c>
      <c r="F55" s="6">
        <f>[697]Tasas!$B$31</f>
        <v>0.79166666666666663</v>
      </c>
      <c r="G55" s="6">
        <f>[697]Tasas!$B$35</f>
        <v>0.84448305821025194</v>
      </c>
    </row>
    <row r="56" spans="2:7" ht="15" thickBot="1" x14ac:dyDescent="0.25">
      <c r="B56" s="5" t="s">
        <v>81</v>
      </c>
      <c r="C56" s="6">
        <f>[698]Tasas!$B$36</f>
        <v>0.97646313120642303</v>
      </c>
      <c r="D56" s="6">
        <f>[698]Tasas!$B$17</f>
        <v>1.0164769166492584</v>
      </c>
      <c r="E56" s="6">
        <f>[698]Tasas!$B$28</f>
        <v>1.0083568563363541</v>
      </c>
      <c r="F56" s="6">
        <f>[698]Tasas!$B$31</f>
        <v>0.5329834311001338</v>
      </c>
      <c r="G56" s="6">
        <f>[698]Tasas!$B$35</f>
        <v>0.91031570480595214</v>
      </c>
    </row>
    <row r="57" spans="2:7" ht="15" thickBot="1" x14ac:dyDescent="0.25">
      <c r="B57" s="5" t="s">
        <v>82</v>
      </c>
      <c r="C57" s="6">
        <f>[699]Tasas!$B$36</f>
        <v>0.97859338970023058</v>
      </c>
      <c r="D57" s="6">
        <f>[699]Tasas!$B$17</f>
        <v>0.9881607929515418</v>
      </c>
      <c r="E57" s="6">
        <f>[699]Tasas!$B$28</f>
        <v>0.9907803949559838</v>
      </c>
      <c r="F57" s="6">
        <f>[699]Tasas!$B$31</f>
        <v>0.59868421052631582</v>
      </c>
      <c r="G57" s="6">
        <f>[699]Tasas!$B$35</f>
        <v>0.99070945945945943</v>
      </c>
    </row>
    <row r="58" spans="2:7" ht="15" thickBot="1" x14ac:dyDescent="0.25">
      <c r="B58" s="5" t="s">
        <v>83</v>
      </c>
      <c r="C58" s="6">
        <f>[700]Tasas!$B$36</f>
        <v>0.9848980890689133</v>
      </c>
      <c r="D58" s="6">
        <f>[700]Tasas!$B$17</f>
        <v>0.91391954432182276</v>
      </c>
      <c r="E58" s="6">
        <f>[700]Tasas!$B$28</f>
        <v>1.0158094690319066</v>
      </c>
      <c r="F58" s="6">
        <f>[700]Tasas!$B$31</f>
        <v>0.99351818509182566</v>
      </c>
      <c r="G58" s="6">
        <f>[700]Tasas!$B$35</f>
        <v>0.85117837061849499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FCC1D-1B07-411B-8E56-C75E0F44CC8D}">
  <dimension ref="B7:G58"/>
  <sheetViews>
    <sheetView workbookViewId="0">
      <selection activeCell="A2" sqref="A2"/>
    </sheetView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f>[701]Tasas!$B$36</f>
        <v>0.9459235516015787</v>
      </c>
      <c r="D9" s="6">
        <f>[701]Tasas!$B$17</f>
        <v>0.93988611966769342</v>
      </c>
      <c r="E9" s="6">
        <f>[701]Tasas!$B$28</f>
        <v>0.98916635437604339</v>
      </c>
      <c r="F9" s="6">
        <f>[701]Tasas!$B$31</f>
        <v>0.7000739644970414</v>
      </c>
      <c r="G9" s="6">
        <f>[701]Tasas!$B$35</f>
        <v>0.7712714331931414</v>
      </c>
    </row>
    <row r="10" spans="2:7" s="8" customFormat="1" ht="20.100000000000001" customHeight="1" thickBot="1" x14ac:dyDescent="0.25">
      <c r="B10" s="5" t="s">
        <v>40</v>
      </c>
      <c r="C10" s="6">
        <f>[702]Tasas!$B$36</f>
        <v>0.91923824900011009</v>
      </c>
      <c r="D10" s="6">
        <f>[702]Tasas!$B$17</f>
        <v>0.84300570278430054</v>
      </c>
      <c r="E10" s="6">
        <f>[702]Tasas!$B$28</f>
        <v>0.95046757784400371</v>
      </c>
      <c r="F10" s="6">
        <f>[702]Tasas!$B$31</f>
        <v>0.83725135623869806</v>
      </c>
      <c r="G10" s="6">
        <f>[702]Tasas!$B$35</f>
        <v>0.83463949843260188</v>
      </c>
    </row>
    <row r="11" spans="2:7" s="8" customFormat="1" ht="20.100000000000001" customHeight="1" thickBot="1" x14ac:dyDescent="0.25">
      <c r="B11" s="5" t="s">
        <v>41</v>
      </c>
      <c r="C11" s="6">
        <f>[703]Tasas!$B$36</f>
        <v>0.94130244577381683</v>
      </c>
      <c r="D11" s="6">
        <f>[703]Tasas!$B$17</f>
        <v>0.81682220304239939</v>
      </c>
      <c r="E11" s="6">
        <f>[703]Tasas!$B$28</f>
        <v>0.97711020936872162</v>
      </c>
      <c r="F11" s="6">
        <f>[703]Tasas!$B$31</f>
        <v>0.76819407008086249</v>
      </c>
      <c r="G11" s="6">
        <f>[703]Tasas!$B$35</f>
        <v>0.87135678391959803</v>
      </c>
    </row>
    <row r="12" spans="2:7" s="8" customFormat="1" ht="20.100000000000001" customHeight="1" thickBot="1" x14ac:dyDescent="0.25">
      <c r="B12" s="5" t="s">
        <v>42</v>
      </c>
      <c r="C12" s="6">
        <f>[704]Tasas!$B$36</f>
        <v>0.92354607126391364</v>
      </c>
      <c r="D12" s="6">
        <f>[704]Tasas!$B$17</f>
        <v>0.74860028543199031</v>
      </c>
      <c r="E12" s="6">
        <f>[704]Tasas!$B$28</f>
        <v>0.98115715805001891</v>
      </c>
      <c r="F12" s="6">
        <f>[704]Tasas!$B$31</f>
        <v>0.57711651299245603</v>
      </c>
      <c r="G12" s="6">
        <f>[704]Tasas!$B$35</f>
        <v>0.72251403731208119</v>
      </c>
    </row>
    <row r="13" spans="2:7" s="8" customFormat="1" ht="20.100000000000001" customHeight="1" thickBot="1" x14ac:dyDescent="0.25">
      <c r="B13" s="5" t="s">
        <v>43</v>
      </c>
      <c r="C13" s="6">
        <f>[705]Tasas!$B$36</f>
        <v>0.93999724125247142</v>
      </c>
      <c r="D13" s="6">
        <f>[705]Tasas!$B$17</f>
        <v>0.85960829939887529</v>
      </c>
      <c r="E13" s="6">
        <f>[705]Tasas!$B$28</f>
        <v>0.96164331452482088</v>
      </c>
      <c r="F13" s="6">
        <f>[705]Tasas!$B$31</f>
        <v>1.0896226415094339</v>
      </c>
      <c r="G13" s="6">
        <f>[705]Tasas!$B$35</f>
        <v>0.96455696202531649</v>
      </c>
    </row>
    <row r="14" spans="2:7" s="8" customFormat="1" ht="20.100000000000001" customHeight="1" thickBot="1" x14ac:dyDescent="0.25">
      <c r="B14" s="5" t="s">
        <v>44</v>
      </c>
      <c r="C14" s="6">
        <f>[706]Tasas!$B$36</f>
        <v>0.94501318603733619</v>
      </c>
      <c r="D14" s="6">
        <f>[706]Tasas!$B$17</f>
        <v>0.87978843586320221</v>
      </c>
      <c r="E14" s="6">
        <f>[706]Tasas!$B$28</f>
        <v>0.97245709850018025</v>
      </c>
      <c r="F14" s="6">
        <f>[706]Tasas!$B$31</f>
        <v>0.95081081081081076</v>
      </c>
      <c r="G14" s="6">
        <f>[706]Tasas!$B$35</f>
        <v>0.692064606741573</v>
      </c>
    </row>
    <row r="15" spans="2:7" s="8" customFormat="1" ht="20.100000000000001" customHeight="1" thickBot="1" x14ac:dyDescent="0.25">
      <c r="B15" s="5" t="s">
        <v>45</v>
      </c>
      <c r="C15" s="6">
        <f>[707]Tasas!$B$36</f>
        <v>0.93035289686183109</v>
      </c>
      <c r="D15" s="6">
        <f>[707]Tasas!$B$17</f>
        <v>0.8259216670968953</v>
      </c>
      <c r="E15" s="6">
        <f>[707]Tasas!$B$28</f>
        <v>0.96940563786417422</v>
      </c>
      <c r="F15" s="6">
        <f>[707]Tasas!$B$31</f>
        <v>0.73375671714704449</v>
      </c>
      <c r="G15" s="6">
        <f>[707]Tasas!$B$35</f>
        <v>0.72024071627770436</v>
      </c>
    </row>
    <row r="16" spans="2:7" s="8" customFormat="1" ht="20.100000000000001" customHeight="1" thickBot="1" x14ac:dyDescent="0.25">
      <c r="B16" s="5" t="s">
        <v>46</v>
      </c>
      <c r="C16" s="6">
        <f>[708]Tasas!$B$36</f>
        <v>0.97333177300058205</v>
      </c>
      <c r="D16" s="6">
        <f>[708]Tasas!$B$17</f>
        <v>0.92885179932051321</v>
      </c>
      <c r="E16" s="6">
        <f>[708]Tasas!$B$28</f>
        <v>0.99424182060505306</v>
      </c>
      <c r="F16" s="6">
        <f>[708]Tasas!$B$31</f>
        <v>0.99006682318945283</v>
      </c>
      <c r="G16" s="6">
        <f>[708]Tasas!$B$35</f>
        <v>0.8534689935538935</v>
      </c>
    </row>
    <row r="17" spans="2:7" s="8" customFormat="1" ht="20.100000000000001" customHeight="1" thickBot="1" x14ac:dyDescent="0.25">
      <c r="B17" s="5" t="s">
        <v>47</v>
      </c>
      <c r="C17" s="6">
        <f>[709]Tasas!$B$36</f>
        <v>0.96940371624525157</v>
      </c>
      <c r="D17" s="6">
        <f>[709]Tasas!$B$17</f>
        <v>0.9328293566422553</v>
      </c>
      <c r="E17" s="6">
        <f>[709]Tasas!$B$28</f>
        <v>0.98439647895815752</v>
      </c>
      <c r="F17" s="6">
        <f>[709]Tasas!$B$31</f>
        <v>1.0232919254658386</v>
      </c>
      <c r="G17" s="6">
        <f>[709]Tasas!$B$35</f>
        <v>0.88623853211009174</v>
      </c>
    </row>
    <row r="18" spans="2:7" s="8" customFormat="1" ht="20.100000000000001" customHeight="1" thickBot="1" x14ac:dyDescent="0.25">
      <c r="B18" s="5" t="s">
        <v>48</v>
      </c>
      <c r="C18" s="6">
        <f>[710]Tasas!$B$36</f>
        <v>0.91261837412372404</v>
      </c>
      <c r="D18" s="6">
        <f>[710]Tasas!$B$17</f>
        <v>0.84143742735373883</v>
      </c>
      <c r="E18" s="6">
        <f>[710]Tasas!$B$28</f>
        <v>0.94101336022183013</v>
      </c>
      <c r="F18" s="6">
        <f>[710]Tasas!$B$31</f>
        <v>0.90380047505938244</v>
      </c>
      <c r="G18" s="6">
        <f>[710]Tasas!$B$35</f>
        <v>0.77099634846113718</v>
      </c>
    </row>
    <row r="19" spans="2:7" s="8" customFormat="1" ht="20.100000000000001" customHeight="1" thickBot="1" x14ac:dyDescent="0.25">
      <c r="B19" s="5" t="s">
        <v>49</v>
      </c>
      <c r="C19" s="6">
        <f>[711]Tasas!$B$36</f>
        <v>0.95912617428592672</v>
      </c>
      <c r="D19" s="6">
        <f>[711]Tasas!$B$17</f>
        <v>0.87876588021778579</v>
      </c>
      <c r="E19" s="6">
        <f>[711]Tasas!$B$28</f>
        <v>0.99465179167715867</v>
      </c>
      <c r="F19" s="6">
        <f>[711]Tasas!$B$31</f>
        <v>0.88240405503258512</v>
      </c>
      <c r="G19" s="6">
        <f>[711]Tasas!$B$35</f>
        <v>0.67127038933206329</v>
      </c>
    </row>
    <row r="20" spans="2:7" s="8" customFormat="1" ht="20.100000000000001" customHeight="1" thickBot="1" x14ac:dyDescent="0.25">
      <c r="B20" s="5" t="s">
        <v>50</v>
      </c>
      <c r="C20" s="6">
        <f>[712]Tasas!$B$36</f>
        <v>0.94583096729750615</v>
      </c>
      <c r="D20" s="6">
        <f>[712]Tasas!$B$17</f>
        <v>0.83964402653009818</v>
      </c>
      <c r="E20" s="6">
        <f>[712]Tasas!$B$28</f>
        <v>0.99117658440938583</v>
      </c>
      <c r="F20" s="6">
        <f>[712]Tasas!$B$31</f>
        <v>0.84281150159744411</v>
      </c>
      <c r="G20" s="6">
        <f>[712]Tasas!$B$35</f>
        <v>0.76323366555924699</v>
      </c>
    </row>
    <row r="21" spans="2:7" s="8" customFormat="1" ht="20.100000000000001" customHeight="1" thickBot="1" x14ac:dyDescent="0.25">
      <c r="B21" s="5" t="s">
        <v>51</v>
      </c>
      <c r="C21" s="6">
        <f>[713]Tasas!$B$36</f>
        <v>0.91976094836876654</v>
      </c>
      <c r="D21" s="6">
        <f>[713]Tasas!$B$17</f>
        <v>0.78656434935292974</v>
      </c>
      <c r="E21" s="6">
        <f>[713]Tasas!$B$28</f>
        <v>0.97141875906281006</v>
      </c>
      <c r="F21" s="6">
        <f>[713]Tasas!$B$31</f>
        <v>0.62097735399284859</v>
      </c>
      <c r="G21" s="6">
        <f>[713]Tasas!$B$35</f>
        <v>0.77490251683800071</v>
      </c>
    </row>
    <row r="22" spans="2:7" s="8" customFormat="1" ht="15" thickBot="1" x14ac:dyDescent="0.25">
      <c r="B22" s="5" t="s">
        <v>52</v>
      </c>
      <c r="C22" s="6">
        <f>[714]Tasas!$B$36</f>
        <v>0.96866236823252483</v>
      </c>
      <c r="D22" s="6">
        <f>[714]Tasas!$B$17</f>
        <v>0.89133281972265022</v>
      </c>
      <c r="E22" s="6">
        <f>[714]Tasas!$B$28</f>
        <v>1.0018822860897283</v>
      </c>
      <c r="F22" s="6">
        <f>[714]Tasas!$B$31</f>
        <v>1.1339055793991417</v>
      </c>
      <c r="G22" s="6">
        <f>[714]Tasas!$B$35</f>
        <v>0.59334041799504078</v>
      </c>
    </row>
    <row r="23" spans="2:7" s="8" customFormat="1" ht="20.100000000000001" customHeight="1" thickBot="1" x14ac:dyDescent="0.25">
      <c r="B23" s="5" t="s">
        <v>53</v>
      </c>
      <c r="C23" s="6">
        <f>[715]Tasas!$B$36</f>
        <v>0.98824096542161366</v>
      </c>
      <c r="D23" s="6">
        <f>[715]Tasas!$B$17</f>
        <v>0.99691818021067524</v>
      </c>
      <c r="E23" s="6">
        <f>[715]Tasas!$B$28</f>
        <v>0.99499196753829566</v>
      </c>
      <c r="F23" s="6">
        <f>[715]Tasas!$B$31</f>
        <v>1.1034293552812071</v>
      </c>
      <c r="G23" s="6">
        <f>[715]Tasas!$B$35</f>
        <v>0.7998864281658149</v>
      </c>
    </row>
    <row r="24" spans="2:7" s="8" customFormat="1" ht="20.100000000000001" customHeight="1" thickBot="1" x14ac:dyDescent="0.25">
      <c r="B24" s="5" t="s">
        <v>54</v>
      </c>
      <c r="C24" s="6">
        <f>[716]Tasas!$B$36</f>
        <v>0.92487199684915322</v>
      </c>
      <c r="D24" s="6">
        <f>[716]Tasas!$B$17</f>
        <v>0.88884493670886078</v>
      </c>
      <c r="E24" s="6">
        <f>[716]Tasas!$B$28</f>
        <v>0.94866391300682795</v>
      </c>
      <c r="F24" s="6">
        <f>[716]Tasas!$B$31</f>
        <v>0.90413223140495869</v>
      </c>
      <c r="G24" s="6">
        <f>[716]Tasas!$B$35</f>
        <v>0.58279370952821463</v>
      </c>
    </row>
    <row r="25" spans="2:7" s="8" customFormat="1" ht="20.100000000000001" customHeight="1" thickBot="1" x14ac:dyDescent="0.25">
      <c r="B25" s="5" t="s">
        <v>55</v>
      </c>
      <c r="C25" s="6">
        <f>[717]Tasas!$B$36</f>
        <v>0.97553190616461394</v>
      </c>
      <c r="D25" s="6">
        <f>[717]Tasas!$B$17</f>
        <v>0.8787571385632702</v>
      </c>
      <c r="E25" s="6">
        <f>[717]Tasas!$B$28</f>
        <v>1.0121020460615271</v>
      </c>
      <c r="F25" s="6">
        <f>[717]Tasas!$B$31</f>
        <v>0.90530697190426634</v>
      </c>
      <c r="G25" s="6">
        <f>[717]Tasas!$B$35</f>
        <v>0.8294331773270931</v>
      </c>
    </row>
    <row r="26" spans="2:7" s="8" customFormat="1" ht="20.100000000000001" customHeight="1" thickBot="1" x14ac:dyDescent="0.25">
      <c r="B26" s="5" t="s">
        <v>56</v>
      </c>
      <c r="C26" s="6">
        <f>[718]Tasas!$B$36</f>
        <v>0.98551272577291238</v>
      </c>
      <c r="D26" s="6">
        <f>[718]Tasas!$B$17</f>
        <v>0.92456251201890061</v>
      </c>
      <c r="E26" s="6">
        <f>[718]Tasas!$B$28</f>
        <v>1.0084041439990357</v>
      </c>
      <c r="F26" s="6">
        <f>[718]Tasas!$B$31</f>
        <v>0.94906033630069242</v>
      </c>
      <c r="G26" s="6">
        <f>[718]Tasas!$B$35</f>
        <v>0.80024534859946839</v>
      </c>
    </row>
    <row r="27" spans="2:7" ht="15" thickBot="1" x14ac:dyDescent="0.25">
      <c r="B27" s="5" t="s">
        <v>57</v>
      </c>
      <c r="C27" s="6">
        <f>[719]Tasas!$B$36</f>
        <v>0.85138746145940392</v>
      </c>
      <c r="D27" s="6">
        <f>[719]Tasas!$B$17</f>
        <v>0.80491367861885788</v>
      </c>
      <c r="E27" s="6">
        <f>[719]Tasas!$B$28</f>
        <v>0.89436119593778851</v>
      </c>
      <c r="F27" s="6">
        <f>[719]Tasas!$B$31</f>
        <v>0.58830409356725144</v>
      </c>
      <c r="G27" s="6">
        <f>[719]Tasas!$B$35</f>
        <v>0.58364938895912344</v>
      </c>
    </row>
    <row r="28" spans="2:7" ht="15" thickBot="1" x14ac:dyDescent="0.25">
      <c r="B28" s="5" t="s">
        <v>58</v>
      </c>
      <c r="C28" s="6">
        <f>[720]Tasas!$B$36</f>
        <v>0.97619768791963246</v>
      </c>
      <c r="D28" s="6">
        <f>[720]Tasas!$B$17</f>
        <v>0.95215282352236663</v>
      </c>
      <c r="E28" s="6">
        <f>[720]Tasas!$B$28</f>
        <v>0.99478205310237111</v>
      </c>
      <c r="F28" s="6">
        <f>[720]Tasas!$B$31</f>
        <v>0.85010593220338981</v>
      </c>
      <c r="G28" s="6">
        <f>[720]Tasas!$B$35</f>
        <v>0.88153310104529614</v>
      </c>
    </row>
    <row r="29" spans="2:7" ht="15" thickBot="1" x14ac:dyDescent="0.25">
      <c r="B29" s="5" t="s">
        <v>59</v>
      </c>
      <c r="C29" s="6">
        <f>[721]Tasas!$B$36</f>
        <v>0.94973832550737958</v>
      </c>
      <c r="D29" s="6">
        <f>[721]Tasas!$B$17</f>
        <v>0.87976740208654014</v>
      </c>
      <c r="E29" s="6">
        <f>[721]Tasas!$B$28</f>
        <v>0.96914092562133125</v>
      </c>
      <c r="F29" s="6">
        <f>[721]Tasas!$B$31</f>
        <v>1.0445261437908497</v>
      </c>
      <c r="G29" s="6">
        <f>[721]Tasas!$B$35</f>
        <v>0.85210084033613442</v>
      </c>
    </row>
    <row r="30" spans="2:7" ht="15" thickBot="1" x14ac:dyDescent="0.25">
      <c r="B30" s="5" t="s">
        <v>60</v>
      </c>
      <c r="C30" s="6">
        <f>[722]Tasas!$B$36</f>
        <v>0.95708333333333329</v>
      </c>
      <c r="D30" s="6">
        <f>[722]Tasas!$B$17</f>
        <v>0.85123722032893767</v>
      </c>
      <c r="E30" s="6">
        <f>[722]Tasas!$B$28</f>
        <v>1.0015457443725244</v>
      </c>
      <c r="F30" s="6">
        <f>[722]Tasas!$B$31</f>
        <v>0.78642384105960261</v>
      </c>
      <c r="G30" s="6">
        <f>[722]Tasas!$B$35</f>
        <v>0.81879194630872487</v>
      </c>
    </row>
    <row r="31" spans="2:7" ht="15" thickBot="1" x14ac:dyDescent="0.25">
      <c r="B31" s="5" t="s">
        <v>61</v>
      </c>
      <c r="C31" s="6">
        <f>[723]Tasas!$B$36</f>
        <v>0.97397491928930668</v>
      </c>
      <c r="D31" s="6">
        <f>[723]Tasas!$B$17</f>
        <v>0.90851383437515143</v>
      </c>
      <c r="E31" s="6">
        <f>[723]Tasas!$B$28</f>
        <v>1.0078385921034572</v>
      </c>
      <c r="F31" s="6">
        <f>[723]Tasas!$B$31</f>
        <v>0.80651945320715035</v>
      </c>
      <c r="G31" s="6">
        <f>[723]Tasas!$B$35</f>
        <v>0.78740690589031825</v>
      </c>
    </row>
    <row r="32" spans="2:7" ht="15" thickBot="1" x14ac:dyDescent="0.25">
      <c r="B32" s="5" t="s">
        <v>62</v>
      </c>
      <c r="C32" s="6">
        <f>[724]Tasas!$B$36</f>
        <v>0.95133457635178253</v>
      </c>
      <c r="D32" s="6">
        <f>[724]Tasas!$B$17</f>
        <v>0.92596426236652862</v>
      </c>
      <c r="E32" s="6">
        <f>[724]Tasas!$B$28</f>
        <v>0.97864652370490079</v>
      </c>
      <c r="F32" s="6">
        <f>[724]Tasas!$B$31</f>
        <v>0.70313542361574388</v>
      </c>
      <c r="G32" s="6">
        <f>[724]Tasas!$B$35</f>
        <v>0.81765295887662992</v>
      </c>
    </row>
    <row r="33" spans="2:7" ht="15" thickBot="1" x14ac:dyDescent="0.25">
      <c r="B33" s="5" t="s">
        <v>63</v>
      </c>
      <c r="C33" s="6">
        <f>[725]Tasas!$B$36</f>
        <v>0.96504477465868499</v>
      </c>
      <c r="D33" s="6">
        <f>[725]Tasas!$B$17</f>
        <v>0.85016196843338621</v>
      </c>
      <c r="E33" s="6">
        <f>[725]Tasas!$B$28</f>
        <v>1.0056554231468391</v>
      </c>
      <c r="F33" s="6">
        <f>[725]Tasas!$B$31</f>
        <v>0.98472222222222228</v>
      </c>
      <c r="G33" s="6">
        <f>[725]Tasas!$B$35</f>
        <v>0.86175115207373276</v>
      </c>
    </row>
    <row r="34" spans="2:7" ht="15" thickBot="1" x14ac:dyDescent="0.25">
      <c r="B34" s="5" t="s">
        <v>64</v>
      </c>
      <c r="C34" s="6">
        <f>[726]Tasas!$B$36</f>
        <v>0.90484802114488416</v>
      </c>
      <c r="D34" s="6">
        <f>[726]Tasas!$B$17</f>
        <v>0.8783372761067928</v>
      </c>
      <c r="E34" s="6">
        <f>[726]Tasas!$B$28</f>
        <v>0.93041209089920629</v>
      </c>
      <c r="F34" s="6">
        <f>[726]Tasas!$B$31</f>
        <v>0.85605338417540511</v>
      </c>
      <c r="G34" s="6">
        <f>[726]Tasas!$B$35</f>
        <v>0.77664783427495288</v>
      </c>
    </row>
    <row r="35" spans="2:7" ht="15" thickBot="1" x14ac:dyDescent="0.25">
      <c r="B35" s="5" t="s">
        <v>65</v>
      </c>
      <c r="C35" s="6">
        <f>[727]Tasas!$B$36</f>
        <v>0.95411576206689364</v>
      </c>
      <c r="D35" s="6">
        <f>[727]Tasas!$B$17</f>
        <v>1.0245441189179847</v>
      </c>
      <c r="E35" s="6">
        <f>[727]Tasas!$B$28</f>
        <v>0.94215697742426019</v>
      </c>
      <c r="F35" s="6">
        <f>[727]Tasas!$B$31</f>
        <v>0.93830570902394106</v>
      </c>
      <c r="G35" s="6">
        <f>[727]Tasas!$B$35</f>
        <v>0.82775430614234646</v>
      </c>
    </row>
    <row r="36" spans="2:7" ht="15" thickBot="1" x14ac:dyDescent="0.25">
      <c r="B36" s="5" t="s">
        <v>32</v>
      </c>
      <c r="C36" s="6">
        <f>[728]Tasas!$B$36</f>
        <v>0.96244530711461018</v>
      </c>
      <c r="D36" s="6">
        <f>[728]Tasas!$B$17</f>
        <v>0.91432653483797499</v>
      </c>
      <c r="E36" s="6">
        <f>[728]Tasas!$B$28</f>
        <v>0.99015660041648124</v>
      </c>
      <c r="F36" s="6">
        <f>[728]Tasas!$B$31</f>
        <v>0.89774081150949758</v>
      </c>
      <c r="G36" s="6">
        <f>[728]Tasas!$B$35</f>
        <v>0.71042594333765008</v>
      </c>
    </row>
    <row r="37" spans="2:7" ht="15" thickBot="1" x14ac:dyDescent="0.25">
      <c r="B37" s="5" t="s">
        <v>66</v>
      </c>
      <c r="C37" s="6">
        <f>[729]Tasas!$B$36</f>
        <v>0.96813441732551186</v>
      </c>
      <c r="D37" s="6">
        <f>[729]Tasas!$B$17</f>
        <v>0.8581821617535903</v>
      </c>
      <c r="E37" s="6">
        <f>[729]Tasas!$B$28</f>
        <v>0.9985959833150575</v>
      </c>
      <c r="F37" s="6">
        <f>[729]Tasas!$B$31</f>
        <v>0.94356087262491206</v>
      </c>
      <c r="G37" s="6">
        <f>[729]Tasas!$B$35</f>
        <v>0.7883941970985493</v>
      </c>
    </row>
    <row r="38" spans="2:7" ht="15" thickBot="1" x14ac:dyDescent="0.25">
      <c r="B38" s="5" t="s">
        <v>33</v>
      </c>
      <c r="C38" s="6">
        <f>[730]Tasas!$B$36</f>
        <v>0.90437815511702613</v>
      </c>
      <c r="D38" s="6">
        <f>[730]Tasas!$B$17</f>
        <v>0.76540124036835178</v>
      </c>
      <c r="E38" s="6">
        <f>[730]Tasas!$B$28</f>
        <v>0.95959865748813211</v>
      </c>
      <c r="F38" s="6">
        <f>[730]Tasas!$B$31</f>
        <v>0.88693467336683418</v>
      </c>
      <c r="G38" s="6">
        <f>[730]Tasas!$B$35</f>
        <v>0.63628533395975262</v>
      </c>
    </row>
    <row r="39" spans="2:7" ht="15" thickBot="1" x14ac:dyDescent="0.25">
      <c r="B39" s="5" t="s">
        <v>34</v>
      </c>
      <c r="C39" s="6">
        <f>[731]Tasas!$B$36</f>
        <v>0.97321540799652628</v>
      </c>
      <c r="D39" s="6">
        <f>[731]Tasas!$B$17</f>
        <v>0.9297829232995658</v>
      </c>
      <c r="E39" s="6">
        <f>[731]Tasas!$B$28</f>
        <v>0.99309335406851762</v>
      </c>
      <c r="F39" s="6">
        <f>[731]Tasas!$B$31</f>
        <v>0.86592178770949724</v>
      </c>
      <c r="G39" s="6">
        <f>[731]Tasas!$B$35</f>
        <v>0.84679958027282265</v>
      </c>
    </row>
    <row r="40" spans="2:7" ht="15" thickBot="1" x14ac:dyDescent="0.25">
      <c r="B40" s="5" t="s">
        <v>67</v>
      </c>
      <c r="C40" s="6">
        <f>[732]Tasas!$B$36</f>
        <v>0.98009097501483289</v>
      </c>
      <c r="D40" s="6">
        <f>[732]Tasas!$B$17</f>
        <v>0.98293113596233084</v>
      </c>
      <c r="E40" s="6">
        <f>[732]Tasas!$B$28</f>
        <v>0.98734055509262231</v>
      </c>
      <c r="F40" s="6">
        <f>[732]Tasas!$B$31</f>
        <v>0.90268456375838924</v>
      </c>
      <c r="G40" s="6">
        <f>[732]Tasas!$B$35</f>
        <v>0.92228784581908607</v>
      </c>
    </row>
    <row r="41" spans="2:7" ht="15" thickBot="1" x14ac:dyDescent="0.25">
      <c r="B41" s="5" t="s">
        <v>31</v>
      </c>
      <c r="C41" s="6">
        <f>[733]Tasas!$B$36</f>
        <v>0.96014781446649389</v>
      </c>
      <c r="D41" s="6">
        <f>[733]Tasas!$B$17</f>
        <v>0.96270026288378552</v>
      </c>
      <c r="E41" s="6">
        <f>[733]Tasas!$B$28</f>
        <v>0.97890498574400864</v>
      </c>
      <c r="F41" s="6">
        <f>[733]Tasas!$B$31</f>
        <v>0.97094972067039109</v>
      </c>
      <c r="G41" s="6">
        <f>[733]Tasas!$B$35</f>
        <v>0.78116699511609977</v>
      </c>
    </row>
    <row r="42" spans="2:7" ht="15" thickBot="1" x14ac:dyDescent="0.25">
      <c r="B42" s="5" t="s">
        <v>68</v>
      </c>
      <c r="C42" s="6">
        <f>[734]Tasas!$B$36</f>
        <v>0.94445648248465153</v>
      </c>
      <c r="D42" s="6">
        <f>[734]Tasas!$B$17</f>
        <v>0.90922946655376802</v>
      </c>
      <c r="E42" s="6">
        <f>[734]Tasas!$B$28</f>
        <v>0.95534418022528156</v>
      </c>
      <c r="F42" s="6">
        <f>[734]Tasas!$B$31</f>
        <v>1.2478632478632479</v>
      </c>
      <c r="G42" s="6">
        <f>[734]Tasas!$B$35</f>
        <v>0.7918367346938775</v>
      </c>
    </row>
    <row r="43" spans="2:7" ht="15" thickBot="1" x14ac:dyDescent="0.25">
      <c r="B43" s="5" t="s">
        <v>69</v>
      </c>
      <c r="C43" s="6">
        <f>[735]Tasas!$B$36</f>
        <v>0.9894264947970618</v>
      </c>
      <c r="D43" s="6">
        <f>[735]Tasas!$B$17</f>
        <v>0.92182574219127744</v>
      </c>
      <c r="E43" s="6">
        <f>[735]Tasas!$B$28</f>
        <v>1.0079853302854027</v>
      </c>
      <c r="F43" s="6">
        <f>[735]Tasas!$B$31</f>
        <v>1.3965684687601165</v>
      </c>
      <c r="G43" s="6">
        <f>[735]Tasas!$B$35</f>
        <v>0.94331589830920815</v>
      </c>
    </row>
    <row r="44" spans="2:7" ht="15" thickBot="1" x14ac:dyDescent="0.25">
      <c r="B44" s="5" t="s">
        <v>70</v>
      </c>
      <c r="C44" s="6">
        <f>[736]Tasas!$B$36</f>
        <v>1.0017273717155708</v>
      </c>
      <c r="D44" s="6">
        <f>[736]Tasas!$B$17</f>
        <v>0.96551814558422488</v>
      </c>
      <c r="E44" s="6">
        <f>[736]Tasas!$B$28</f>
        <v>1.0171499055134297</v>
      </c>
      <c r="F44" s="6">
        <f>[736]Tasas!$B$31</f>
        <v>1.048820852296235</v>
      </c>
      <c r="G44" s="6">
        <f>[736]Tasas!$B$35</f>
        <v>0.92021466905187832</v>
      </c>
    </row>
    <row r="45" spans="2:7" ht="15" thickBot="1" x14ac:dyDescent="0.25">
      <c r="B45" s="5" t="s">
        <v>71</v>
      </c>
      <c r="C45" s="6">
        <f>[737]Tasas!$B$36</f>
        <v>0.953365138865224</v>
      </c>
      <c r="D45" s="6">
        <f>[737]Tasas!$B$17</f>
        <v>0.85832211754149845</v>
      </c>
      <c r="E45" s="6">
        <f>[737]Tasas!$B$28</f>
        <v>0.98330295461193995</v>
      </c>
      <c r="F45" s="6">
        <f>[737]Tasas!$B$31</f>
        <v>0.88826815642458101</v>
      </c>
      <c r="G45" s="6">
        <f>[737]Tasas!$B$35</f>
        <v>0.85433070866141736</v>
      </c>
    </row>
    <row r="46" spans="2:7" ht="15" thickBot="1" x14ac:dyDescent="0.25">
      <c r="B46" s="5" t="s">
        <v>72</v>
      </c>
      <c r="C46" s="6">
        <f>[738]Tasas!$B$36</f>
        <v>0.95248159258249254</v>
      </c>
      <c r="D46" s="6">
        <f>[738]Tasas!$B$17</f>
        <v>0.85129942963510963</v>
      </c>
      <c r="E46" s="6">
        <f>[738]Tasas!$B$28</f>
        <v>0.98339370016121919</v>
      </c>
      <c r="F46" s="6">
        <f>[738]Tasas!$B$31</f>
        <v>1.0913770913770913</v>
      </c>
      <c r="G46" s="6">
        <f>[738]Tasas!$B$35</f>
        <v>0.90822979456267683</v>
      </c>
    </row>
    <row r="47" spans="2:7" ht="15" thickBot="1" x14ac:dyDescent="0.25">
      <c r="B47" s="5" t="s">
        <v>5</v>
      </c>
      <c r="C47" s="6">
        <f>[739]Tasas!$B$36</f>
        <v>0.97168325657406029</v>
      </c>
      <c r="D47" s="6">
        <f>[739]Tasas!$B$17</f>
        <v>0.94549848942598191</v>
      </c>
      <c r="E47" s="6">
        <f>[739]Tasas!$B$28</f>
        <v>0.99789568397527062</v>
      </c>
      <c r="F47" s="6">
        <f>[739]Tasas!$B$31</f>
        <v>0.84407484407484412</v>
      </c>
      <c r="G47" s="6">
        <f>[739]Tasas!$B$35</f>
        <v>0.80018832391713746</v>
      </c>
    </row>
    <row r="48" spans="2:7" ht="15" thickBot="1" x14ac:dyDescent="0.25">
      <c r="B48" s="5" t="s">
        <v>73</v>
      </c>
      <c r="C48" s="6">
        <f>[740]Tasas!$B$36</f>
        <v>0.8599077940153097</v>
      </c>
      <c r="D48" s="6">
        <f>[740]Tasas!$B$17</f>
        <v>0.77511721366376418</v>
      </c>
      <c r="E48" s="6">
        <f>[740]Tasas!$B$28</f>
        <v>0.8994705619697646</v>
      </c>
      <c r="F48" s="6">
        <f>[740]Tasas!$B$31</f>
        <v>0.71230158730158732</v>
      </c>
      <c r="G48" s="6">
        <f>[740]Tasas!$B$35</f>
        <v>0.81287246722288442</v>
      </c>
    </row>
    <row r="49" spans="2:7" ht="15" thickBot="1" x14ac:dyDescent="0.25">
      <c r="B49" s="5" t="s">
        <v>74</v>
      </c>
      <c r="C49" s="6">
        <f>[741]Tasas!$B$36</f>
        <v>0.97917305931329079</v>
      </c>
      <c r="D49" s="6">
        <f>[741]Tasas!$B$17</f>
        <v>0.89123975871072292</v>
      </c>
      <c r="E49" s="6">
        <f>[741]Tasas!$B$28</f>
        <v>1.0035940667232968</v>
      </c>
      <c r="F49" s="6">
        <f>[741]Tasas!$B$31</f>
        <v>0.96591586223334525</v>
      </c>
      <c r="G49" s="6">
        <f>[741]Tasas!$B$35</f>
        <v>0.82305461954392289</v>
      </c>
    </row>
    <row r="50" spans="2:7" ht="15" thickBot="1" x14ac:dyDescent="0.25">
      <c r="B50" s="5" t="s">
        <v>75</v>
      </c>
      <c r="C50" s="6">
        <f>[742]Tasas!$B$36</f>
        <v>0.91545476953413851</v>
      </c>
      <c r="D50" s="6">
        <f>[742]Tasas!$B$17</f>
        <v>0.8282763072950291</v>
      </c>
      <c r="E50" s="6">
        <f>[742]Tasas!$B$28</f>
        <v>0.960717749757517</v>
      </c>
      <c r="F50" s="6">
        <f>[742]Tasas!$B$31</f>
        <v>0.69873417721518982</v>
      </c>
      <c r="G50" s="6">
        <f>[742]Tasas!$B$35</f>
        <v>0.87441860465116283</v>
      </c>
    </row>
    <row r="51" spans="2:7" ht="15" thickBot="1" x14ac:dyDescent="0.25">
      <c r="B51" s="5" t="s">
        <v>76</v>
      </c>
      <c r="C51" s="6">
        <f>[743]Tasas!$B$36</f>
        <v>0.96984060711742026</v>
      </c>
      <c r="D51" s="6">
        <f>[743]Tasas!$B$17</f>
        <v>0.88340923037173402</v>
      </c>
      <c r="E51" s="6">
        <f>[743]Tasas!$B$28</f>
        <v>1.0034157954663079</v>
      </c>
      <c r="F51" s="6">
        <f>[743]Tasas!$B$31</f>
        <v>0.95051060487038497</v>
      </c>
      <c r="G51" s="6">
        <f>[743]Tasas!$B$35</f>
        <v>0.66898194086128204</v>
      </c>
    </row>
    <row r="52" spans="2:7" ht="15" thickBot="1" x14ac:dyDescent="0.25">
      <c r="B52" s="5" t="s">
        <v>77</v>
      </c>
      <c r="C52" s="6">
        <f>[744]Tasas!$B$36</f>
        <v>1.006415211006338</v>
      </c>
      <c r="D52" s="6">
        <f>[744]Tasas!$B$17</f>
        <v>0.91678832116788322</v>
      </c>
      <c r="E52" s="6">
        <f>[744]Tasas!$B$28</f>
        <v>1.018370774721814</v>
      </c>
      <c r="F52" s="6">
        <f>[744]Tasas!$B$31</f>
        <v>0.96850393700787396</v>
      </c>
      <c r="G52" s="6">
        <f>[744]Tasas!$B$35</f>
        <v>1.3444976076555024</v>
      </c>
    </row>
    <row r="53" spans="2:7" ht="15" thickBot="1" x14ac:dyDescent="0.25">
      <c r="B53" s="5" t="s">
        <v>78</v>
      </c>
      <c r="C53" s="6">
        <f>[745]Tasas!$B$36</f>
        <v>0.88781740756595995</v>
      </c>
      <c r="D53" s="6">
        <f>[745]Tasas!$B$17</f>
        <v>0.73964001674340729</v>
      </c>
      <c r="E53" s="6">
        <f>[745]Tasas!$B$28</f>
        <v>0.95606857285087588</v>
      </c>
      <c r="F53" s="6">
        <f>[745]Tasas!$B$31</f>
        <v>0.49896480331262938</v>
      </c>
      <c r="G53" s="6">
        <f>[745]Tasas!$B$35</f>
        <v>0.65406976744186052</v>
      </c>
    </row>
    <row r="54" spans="2:7" ht="15" thickBot="1" x14ac:dyDescent="0.25">
      <c r="B54" s="5" t="s">
        <v>79</v>
      </c>
      <c r="C54" s="6">
        <f>[746]Tasas!$B$36</f>
        <v>0.95973484791757147</v>
      </c>
      <c r="D54" s="6">
        <f>[746]Tasas!$B$17</f>
        <v>0.89759517086943819</v>
      </c>
      <c r="E54" s="6">
        <f>[746]Tasas!$B$28</f>
        <v>0.9850440708021907</v>
      </c>
      <c r="F54" s="6">
        <f>[746]Tasas!$B$31</f>
        <v>1.1004622843612584</v>
      </c>
      <c r="G54" s="6">
        <f>[746]Tasas!$B$35</f>
        <v>0.72136355016119857</v>
      </c>
    </row>
    <row r="55" spans="2:7" ht="15" thickBot="1" x14ac:dyDescent="0.25">
      <c r="B55" s="5" t="s">
        <v>80</v>
      </c>
      <c r="C55" s="6">
        <f>[747]Tasas!$B$36</f>
        <v>0.9127106784301795</v>
      </c>
      <c r="D55" s="6">
        <f>[747]Tasas!$B$17</f>
        <v>0.86126837375993348</v>
      </c>
      <c r="E55" s="6">
        <f>[747]Tasas!$B$28</f>
        <v>0.95965739821251239</v>
      </c>
      <c r="F55" s="6">
        <f>[747]Tasas!$B$31</f>
        <v>0.56995515695067267</v>
      </c>
      <c r="G55" s="6">
        <f>[747]Tasas!$B$35</f>
        <v>0.70511627906976748</v>
      </c>
    </row>
    <row r="56" spans="2:7" ht="15" thickBot="1" x14ac:dyDescent="0.25">
      <c r="B56" s="5" t="s">
        <v>81</v>
      </c>
      <c r="C56" s="6">
        <f>[748]Tasas!$B$36</f>
        <v>0.96499251674899311</v>
      </c>
      <c r="D56" s="6">
        <f>[748]Tasas!$B$17</f>
        <v>0.99435796539552113</v>
      </c>
      <c r="E56" s="6">
        <f>[748]Tasas!$B$28</f>
        <v>0.99606572332721965</v>
      </c>
      <c r="F56" s="6">
        <f>[748]Tasas!$B$31</f>
        <v>0.36817936250675309</v>
      </c>
      <c r="G56" s="6">
        <f>[748]Tasas!$B$35</f>
        <v>0.98079189252887111</v>
      </c>
    </row>
    <row r="57" spans="2:7" ht="15" thickBot="1" x14ac:dyDescent="0.25">
      <c r="B57" s="5" t="s">
        <v>82</v>
      </c>
      <c r="C57" s="6">
        <f>[749]Tasas!$B$36</f>
        <v>0.96834680119648198</v>
      </c>
      <c r="D57" s="6">
        <f>[749]Tasas!$B$17</f>
        <v>0.89642437468524427</v>
      </c>
      <c r="E57" s="6">
        <f>[749]Tasas!$B$28</f>
        <v>1.0213206790536025</v>
      </c>
      <c r="F57" s="6">
        <f>[749]Tasas!$B$31</f>
        <v>0.87947269303201503</v>
      </c>
      <c r="G57" s="6">
        <f>[749]Tasas!$B$35</f>
        <v>0.6343519494204426</v>
      </c>
    </row>
    <row r="58" spans="2:7" ht="15" thickBot="1" x14ac:dyDescent="0.25">
      <c r="B58" s="5" t="s">
        <v>83</v>
      </c>
      <c r="C58" s="6">
        <f>[750]Tasas!$B$36</f>
        <v>0.99463435151818291</v>
      </c>
      <c r="D58" s="6">
        <f>[750]Tasas!$B$17</f>
        <v>0.95042988437592646</v>
      </c>
      <c r="E58" s="6">
        <f>[750]Tasas!$B$28</f>
        <v>1.0094989937824768</v>
      </c>
      <c r="F58" s="6">
        <f>[750]Tasas!$B$31</f>
        <v>1.064118372379778</v>
      </c>
      <c r="G58" s="6">
        <f>[750]Tasas!$B$35</f>
        <v>0.89498408849825728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BE9A9-3C13-442E-A98D-B18CB3103EA6}">
  <dimension ref="B7:G58"/>
  <sheetViews>
    <sheetView workbookViewId="0">
      <selection activeCell="A2" sqref="A2"/>
    </sheetView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f>[751]Tasas!$B$36</f>
        <v>0.97133534136546185</v>
      </c>
      <c r="D9" s="6">
        <f>[751]Tasas!$B$17</f>
        <v>0.96212437395659434</v>
      </c>
      <c r="E9" s="6">
        <f>[751]Tasas!$B$28</f>
        <v>0.99331745909824098</v>
      </c>
      <c r="F9" s="6">
        <f>[751]Tasas!$B$31</f>
        <v>0.80875576036866359</v>
      </c>
      <c r="G9" s="6">
        <f>[751]Tasas!$B$35</f>
        <v>0.89000805801772764</v>
      </c>
    </row>
    <row r="10" spans="2:7" s="8" customFormat="1" ht="20.100000000000001" customHeight="1" thickBot="1" x14ac:dyDescent="0.25">
      <c r="B10" s="5" t="s">
        <v>40</v>
      </c>
      <c r="C10" s="6">
        <f>[752]Tasas!$B$36</f>
        <v>0.97719117903760744</v>
      </c>
      <c r="D10" s="6">
        <f>[752]Tasas!$B$17</f>
        <v>0.98159320993966659</v>
      </c>
      <c r="E10" s="6">
        <f>[752]Tasas!$B$28</f>
        <v>0.9693352487919551</v>
      </c>
      <c r="F10" s="6">
        <f>[752]Tasas!$B$31</f>
        <v>1.160908193484699</v>
      </c>
      <c r="G10" s="6">
        <f>[752]Tasas!$B$35</f>
        <v>1.0060435132957293</v>
      </c>
    </row>
    <row r="11" spans="2:7" s="8" customFormat="1" ht="20.100000000000001" customHeight="1" thickBot="1" x14ac:dyDescent="0.25">
      <c r="B11" s="5" t="s">
        <v>41</v>
      </c>
      <c r="C11" s="6">
        <f>[753]Tasas!$B$36</f>
        <v>0.97863576029618604</v>
      </c>
      <c r="D11" s="6">
        <f>[753]Tasas!$B$17</f>
        <v>0.93969083387763985</v>
      </c>
      <c r="E11" s="6">
        <f>[753]Tasas!$B$28</f>
        <v>0.98547822712404975</v>
      </c>
      <c r="F11" s="6">
        <f>[753]Tasas!$B$31</f>
        <v>0.85816186556927299</v>
      </c>
      <c r="G11" s="6">
        <f>[753]Tasas!$B$35</f>
        <v>1.0530489166852803</v>
      </c>
    </row>
    <row r="12" spans="2:7" s="8" customFormat="1" ht="20.100000000000001" customHeight="1" thickBot="1" x14ac:dyDescent="0.25">
      <c r="B12" s="5" t="s">
        <v>42</v>
      </c>
      <c r="C12" s="6">
        <f>[754]Tasas!$B$36</f>
        <v>0.99532467532467528</v>
      </c>
      <c r="D12" s="6">
        <f>[754]Tasas!$B$17</f>
        <v>0.93630000000000002</v>
      </c>
      <c r="E12" s="6">
        <f>[754]Tasas!$B$28</f>
        <v>1.0057649844635168</v>
      </c>
      <c r="F12" s="6">
        <f>[754]Tasas!$B$31</f>
        <v>0.94722598105548039</v>
      </c>
      <c r="G12" s="6">
        <f>[754]Tasas!$B$35</f>
        <v>1.053370786516854</v>
      </c>
    </row>
    <row r="13" spans="2:7" s="8" customFormat="1" ht="20.100000000000001" customHeight="1" thickBot="1" x14ac:dyDescent="0.25">
      <c r="B13" s="5" t="s">
        <v>43</v>
      </c>
      <c r="C13" s="6">
        <f>[755]Tasas!$B$36</f>
        <v>0.99248336285727967</v>
      </c>
      <c r="D13" s="6">
        <f>[755]Tasas!$B$17</f>
        <v>0.97379603399433423</v>
      </c>
      <c r="E13" s="6">
        <f>[755]Tasas!$B$28</f>
        <v>1.0094531150869179</v>
      </c>
      <c r="F13" s="6">
        <f>[755]Tasas!$B$31</f>
        <v>0.63479923518164438</v>
      </c>
      <c r="G13" s="6">
        <f>[755]Tasas!$B$35</f>
        <v>0.98907103825136611</v>
      </c>
    </row>
    <row r="14" spans="2:7" s="8" customFormat="1" ht="20.100000000000001" customHeight="1" thickBot="1" x14ac:dyDescent="0.25">
      <c r="B14" s="5" t="s">
        <v>44</v>
      </c>
      <c r="C14" s="6">
        <f>[756]Tasas!$B$36</f>
        <v>0.97988729109988337</v>
      </c>
      <c r="D14" s="6">
        <f>[756]Tasas!$B$17</f>
        <v>0.94547140290896448</v>
      </c>
      <c r="E14" s="6">
        <f>[756]Tasas!$B$28</f>
        <v>0.99254808029023267</v>
      </c>
      <c r="F14" s="6">
        <f>[756]Tasas!$B$31</f>
        <v>0.95</v>
      </c>
      <c r="G14" s="6">
        <f>[756]Tasas!$B$35</f>
        <v>0.87298387096774188</v>
      </c>
    </row>
    <row r="15" spans="2:7" s="8" customFormat="1" ht="20.100000000000001" customHeight="1" thickBot="1" x14ac:dyDescent="0.25">
      <c r="B15" s="5" t="s">
        <v>45</v>
      </c>
      <c r="C15" s="6">
        <f>[757]Tasas!$B$36</f>
        <v>0.9878252554230208</v>
      </c>
      <c r="D15" s="6">
        <f>[757]Tasas!$B$17</f>
        <v>0.94417953069856408</v>
      </c>
      <c r="E15" s="6">
        <f>[757]Tasas!$B$28</f>
        <v>1.000096618357488</v>
      </c>
      <c r="F15" s="6">
        <f>[757]Tasas!$B$31</f>
        <v>1.0194690265486726</v>
      </c>
      <c r="G15" s="6">
        <f>[757]Tasas!$B$35</f>
        <v>0.91461305663640291</v>
      </c>
    </row>
    <row r="16" spans="2:7" s="8" customFormat="1" ht="20.100000000000001" customHeight="1" thickBot="1" x14ac:dyDescent="0.25">
      <c r="B16" s="5" t="s">
        <v>46</v>
      </c>
      <c r="C16" s="6">
        <f>[758]Tasas!$B$36</f>
        <v>1.0029459690344684</v>
      </c>
      <c r="D16" s="6">
        <f>[758]Tasas!$B$17</f>
        <v>0.98014263263303014</v>
      </c>
      <c r="E16" s="6">
        <f>[758]Tasas!$B$28</f>
        <v>1.0103421525094385</v>
      </c>
      <c r="F16" s="6">
        <f>[758]Tasas!$B$31</f>
        <v>0.87769359441109907</v>
      </c>
      <c r="G16" s="6">
        <f>[758]Tasas!$B$35</f>
        <v>1.0112194277803415</v>
      </c>
    </row>
    <row r="17" spans="2:7" s="8" customFormat="1" ht="20.100000000000001" customHeight="1" thickBot="1" x14ac:dyDescent="0.25">
      <c r="B17" s="5" t="s">
        <v>47</v>
      </c>
      <c r="C17" s="6">
        <f>[759]Tasas!$B$36</f>
        <v>0.988235922260981</v>
      </c>
      <c r="D17" s="6">
        <f>[759]Tasas!$B$17</f>
        <v>0.98804476852636935</v>
      </c>
      <c r="E17" s="6">
        <f>[759]Tasas!$B$28</f>
        <v>0.98815850137099315</v>
      </c>
      <c r="F17" s="6">
        <f>[759]Tasas!$B$31</f>
        <v>0.99015219337511196</v>
      </c>
      <c r="G17" s="6">
        <f>[759]Tasas!$B$35</f>
        <v>0.98983543078412395</v>
      </c>
    </row>
    <row r="18" spans="2:7" s="8" customFormat="1" ht="20.100000000000001" customHeight="1" thickBot="1" x14ac:dyDescent="0.25">
      <c r="B18" s="5" t="s">
        <v>48</v>
      </c>
      <c r="C18" s="6">
        <f>[760]Tasas!$B$36</f>
        <v>0.98275525476670789</v>
      </c>
      <c r="D18" s="6">
        <f>[760]Tasas!$B$17</f>
        <v>0.98355663824604145</v>
      </c>
      <c r="E18" s="6">
        <f>[760]Tasas!$B$28</f>
        <v>0.98115426454590893</v>
      </c>
      <c r="F18" s="6">
        <f>[760]Tasas!$B$31</f>
        <v>1.2490706319702602</v>
      </c>
      <c r="G18" s="6">
        <f>[760]Tasas!$B$35</f>
        <v>0.86494051784464665</v>
      </c>
    </row>
    <row r="19" spans="2:7" s="8" customFormat="1" ht="20.100000000000001" customHeight="1" thickBot="1" x14ac:dyDescent="0.25">
      <c r="B19" s="5" t="s">
        <v>49</v>
      </c>
      <c r="C19" s="6">
        <f>[761]Tasas!$B$36</f>
        <v>0.99860783746157766</v>
      </c>
      <c r="D19" s="6">
        <f>[761]Tasas!$B$17</f>
        <v>0.96619068785420603</v>
      </c>
      <c r="E19" s="6">
        <f>[761]Tasas!$B$28</f>
        <v>1.0160201416281935</v>
      </c>
      <c r="F19" s="6">
        <f>[761]Tasas!$B$31</f>
        <v>0.77842655193607868</v>
      </c>
      <c r="G19" s="6">
        <f>[761]Tasas!$B$35</f>
        <v>0.93488455988455987</v>
      </c>
    </row>
    <row r="20" spans="2:7" s="8" customFormat="1" ht="20.100000000000001" customHeight="1" thickBot="1" x14ac:dyDescent="0.25">
      <c r="B20" s="5" t="s">
        <v>50</v>
      </c>
      <c r="C20" s="6">
        <f>[762]Tasas!$B$36</f>
        <v>0.99336545704056045</v>
      </c>
      <c r="D20" s="6">
        <f>[762]Tasas!$B$17</f>
        <v>0.90518296073851634</v>
      </c>
      <c r="E20" s="6">
        <f>[762]Tasas!$B$28</f>
        <v>1.0202591125730012</v>
      </c>
      <c r="F20" s="6">
        <f>[762]Tasas!$B$31</f>
        <v>0.85346676197283777</v>
      </c>
      <c r="G20" s="6">
        <f>[762]Tasas!$B$35</f>
        <v>0.9206817436905933</v>
      </c>
    </row>
    <row r="21" spans="2:7" s="8" customFormat="1" ht="20.100000000000001" customHeight="1" thickBot="1" x14ac:dyDescent="0.25">
      <c r="B21" s="5" t="s">
        <v>51</v>
      </c>
      <c r="C21" s="6">
        <f>[763]Tasas!$B$36</f>
        <v>0.97393749324105117</v>
      </c>
      <c r="D21" s="6">
        <f>[763]Tasas!$B$17</f>
        <v>0.93126101586284249</v>
      </c>
      <c r="E21" s="6">
        <f>[763]Tasas!$B$28</f>
        <v>0.99107704163371257</v>
      </c>
      <c r="F21" s="6">
        <f>[763]Tasas!$B$31</f>
        <v>0.84603658536585369</v>
      </c>
      <c r="G21" s="6">
        <f>[763]Tasas!$B$35</f>
        <v>0.87368421052631584</v>
      </c>
    </row>
    <row r="22" spans="2:7" s="8" customFormat="1" ht="15" thickBot="1" x14ac:dyDescent="0.25">
      <c r="B22" s="5" t="s">
        <v>52</v>
      </c>
      <c r="C22" s="6">
        <f>[764]Tasas!$B$36</f>
        <v>0.99726695284168765</v>
      </c>
      <c r="D22" s="6">
        <f>[764]Tasas!$B$17</f>
        <v>0.97316377788840114</v>
      </c>
      <c r="E22" s="6">
        <f>[764]Tasas!$B$28</f>
        <v>1.0002223941210597</v>
      </c>
      <c r="F22" s="6">
        <f>[764]Tasas!$B$31</f>
        <v>1.2581818181818183</v>
      </c>
      <c r="G22" s="6">
        <f>[764]Tasas!$B$35</f>
        <v>0.83864598025387871</v>
      </c>
    </row>
    <row r="23" spans="2:7" s="8" customFormat="1" ht="20.100000000000001" customHeight="1" thickBot="1" x14ac:dyDescent="0.25">
      <c r="B23" s="5" t="s">
        <v>53</v>
      </c>
      <c r="C23" s="6">
        <f>[765]Tasas!$B$36</f>
        <v>0.98935809158944088</v>
      </c>
      <c r="D23" s="6">
        <f>[765]Tasas!$B$17</f>
        <v>0.96293446902046986</v>
      </c>
      <c r="E23" s="6">
        <f>[765]Tasas!$B$28</f>
        <v>1.0073489060151273</v>
      </c>
      <c r="F23" s="6">
        <f>[765]Tasas!$B$31</f>
        <v>0.85710594315245481</v>
      </c>
      <c r="G23" s="6">
        <f>[765]Tasas!$B$35</f>
        <v>0.88881805431595051</v>
      </c>
    </row>
    <row r="24" spans="2:7" s="8" customFormat="1" ht="20.100000000000001" customHeight="1" thickBot="1" x14ac:dyDescent="0.25">
      <c r="B24" s="5" t="s">
        <v>54</v>
      </c>
      <c r="C24" s="6">
        <f>[766]Tasas!$B$36</f>
        <v>0.95317944250871078</v>
      </c>
      <c r="D24" s="6">
        <f>[766]Tasas!$B$17</f>
        <v>0.91852337265181305</v>
      </c>
      <c r="E24" s="6">
        <f>[766]Tasas!$B$28</f>
        <v>0.95575629090238734</v>
      </c>
      <c r="F24" s="6">
        <f>[766]Tasas!$B$31</f>
        <v>0.91346153846153844</v>
      </c>
      <c r="G24" s="6">
        <f>[766]Tasas!$B$35</f>
        <v>1.1487730061349692</v>
      </c>
    </row>
    <row r="25" spans="2:7" s="8" customFormat="1" ht="20.100000000000001" customHeight="1" thickBot="1" x14ac:dyDescent="0.25">
      <c r="B25" s="5" t="s">
        <v>55</v>
      </c>
      <c r="C25" s="6">
        <f>[767]Tasas!$B$36</f>
        <v>0.99286042890508885</v>
      </c>
      <c r="D25" s="6">
        <f>[767]Tasas!$B$17</f>
        <v>0.94753727118324216</v>
      </c>
      <c r="E25" s="6">
        <f>[767]Tasas!$B$28</f>
        <v>1.0094011900530824</v>
      </c>
      <c r="F25" s="6">
        <f>[767]Tasas!$B$31</f>
        <v>0.81791221826809013</v>
      </c>
      <c r="G25" s="6">
        <f>[767]Tasas!$B$35</f>
        <v>0.92893747864707887</v>
      </c>
    </row>
    <row r="26" spans="2:7" s="8" customFormat="1" ht="20.100000000000001" customHeight="1" thickBot="1" x14ac:dyDescent="0.25">
      <c r="B26" s="5" t="s">
        <v>56</v>
      </c>
      <c r="C26" s="6">
        <f>[768]Tasas!$B$36</f>
        <v>1.0045345963567338</v>
      </c>
      <c r="D26" s="6">
        <f>[768]Tasas!$B$17</f>
        <v>1.0206416799401878</v>
      </c>
      <c r="E26" s="6">
        <f>[768]Tasas!$B$28</f>
        <v>1.0051930292482256</v>
      </c>
      <c r="F26" s="6">
        <f>[768]Tasas!$B$31</f>
        <v>0.96356050069541033</v>
      </c>
      <c r="G26" s="6">
        <f>[768]Tasas!$B$35</f>
        <v>0.9359409594095941</v>
      </c>
    </row>
    <row r="27" spans="2:7" ht="15" thickBot="1" x14ac:dyDescent="0.25">
      <c r="B27" s="5" t="s">
        <v>57</v>
      </c>
      <c r="C27" s="6">
        <f>[769]Tasas!$B$36</f>
        <v>0.96271949846313032</v>
      </c>
      <c r="D27" s="6">
        <f>[769]Tasas!$B$17</f>
        <v>0.95082242363209135</v>
      </c>
      <c r="E27" s="6">
        <f>[769]Tasas!$B$28</f>
        <v>0.96229448888531577</v>
      </c>
      <c r="F27" s="6">
        <f>[769]Tasas!$B$31</f>
        <v>0.86472602739726023</v>
      </c>
      <c r="G27" s="6">
        <f>[769]Tasas!$B$35</f>
        <v>1.0590277777777777</v>
      </c>
    </row>
    <row r="28" spans="2:7" ht="15" thickBot="1" x14ac:dyDescent="0.25">
      <c r="B28" s="5" t="s">
        <v>58</v>
      </c>
      <c r="C28" s="6">
        <f>[770]Tasas!$B$36</f>
        <v>0.98821164570094666</v>
      </c>
      <c r="D28" s="6">
        <f>[770]Tasas!$B$17</f>
        <v>0.9915408233598596</v>
      </c>
      <c r="E28" s="6">
        <f>[770]Tasas!$B$28</f>
        <v>0.99366320374138728</v>
      </c>
      <c r="F28" s="6">
        <f>[770]Tasas!$B$31</f>
        <v>0.79018492176386912</v>
      </c>
      <c r="G28" s="6">
        <f>[770]Tasas!$B$35</f>
        <v>0.96669352672575881</v>
      </c>
    </row>
    <row r="29" spans="2:7" ht="15" thickBot="1" x14ac:dyDescent="0.25">
      <c r="B29" s="5" t="s">
        <v>59</v>
      </c>
      <c r="C29" s="6">
        <f>[771]Tasas!$B$36</f>
        <v>0.97308287904921376</v>
      </c>
      <c r="D29" s="6">
        <f>[771]Tasas!$B$17</f>
        <v>0.94557922381091331</v>
      </c>
      <c r="E29" s="6">
        <f>[771]Tasas!$B$28</f>
        <v>0.98969342874023503</v>
      </c>
      <c r="F29" s="6">
        <f>[771]Tasas!$B$31</f>
        <v>0.8377440347071583</v>
      </c>
      <c r="G29" s="6">
        <f>[771]Tasas!$B$35</f>
        <v>0.84299516908212557</v>
      </c>
    </row>
    <row r="30" spans="2:7" ht="15" thickBot="1" x14ac:dyDescent="0.25">
      <c r="B30" s="5" t="s">
        <v>60</v>
      </c>
      <c r="C30" s="6">
        <f>[772]Tasas!$B$36</f>
        <v>0.97324947589098532</v>
      </c>
      <c r="D30" s="6">
        <f>[772]Tasas!$B$17</f>
        <v>0.94112166946152409</v>
      </c>
      <c r="E30" s="6">
        <f>[772]Tasas!$B$28</f>
        <v>0.9886960032297134</v>
      </c>
      <c r="F30" s="6">
        <f>[772]Tasas!$B$31</f>
        <v>1.0945674044265594</v>
      </c>
      <c r="G30" s="6">
        <f>[772]Tasas!$B$35</f>
        <v>0.73261205564142196</v>
      </c>
    </row>
    <row r="31" spans="2:7" ht="15" thickBot="1" x14ac:dyDescent="0.25">
      <c r="B31" s="5" t="s">
        <v>61</v>
      </c>
      <c r="C31" s="6">
        <f>[773]Tasas!$B$36</f>
        <v>1.0092653871608206</v>
      </c>
      <c r="D31" s="6">
        <f>[773]Tasas!$B$17</f>
        <v>0.99430633068380403</v>
      </c>
      <c r="E31" s="6">
        <f>[773]Tasas!$B$28</f>
        <v>1.0096111839231106</v>
      </c>
      <c r="F31" s="6">
        <f>[773]Tasas!$B$31</f>
        <v>1.0740354535974974</v>
      </c>
      <c r="G31" s="6">
        <f>[773]Tasas!$B$35</f>
        <v>1.05901774659513</v>
      </c>
    </row>
    <row r="32" spans="2:7" ht="15" thickBot="1" x14ac:dyDescent="0.25">
      <c r="B32" s="5" t="s">
        <v>62</v>
      </c>
      <c r="C32" s="6">
        <f>[774]Tasas!$B$36</f>
        <v>0.96143972337192851</v>
      </c>
      <c r="D32" s="6">
        <f>[774]Tasas!$B$17</f>
        <v>0.96589399975854162</v>
      </c>
      <c r="E32" s="6">
        <f>[774]Tasas!$B$28</f>
        <v>0.96578865479306619</v>
      </c>
      <c r="F32" s="6">
        <f>[774]Tasas!$B$31</f>
        <v>0.76003086419753085</v>
      </c>
      <c r="G32" s="6">
        <f>[774]Tasas!$B$35</f>
        <v>0.94837872892347597</v>
      </c>
    </row>
    <row r="33" spans="2:7" ht="15" thickBot="1" x14ac:dyDescent="0.25">
      <c r="B33" s="5" t="s">
        <v>63</v>
      </c>
      <c r="C33" s="6">
        <f>[775]Tasas!$B$36</f>
        <v>0.9460533571659473</v>
      </c>
      <c r="D33" s="6">
        <f>[775]Tasas!$B$17</f>
        <v>0.86166253101736978</v>
      </c>
      <c r="E33" s="6">
        <f>[775]Tasas!$B$28</f>
        <v>0.96096708418293042</v>
      </c>
      <c r="F33" s="6">
        <f>[775]Tasas!$B$31</f>
        <v>1.0314285714285714</v>
      </c>
      <c r="G33" s="6">
        <f>[775]Tasas!$B$35</f>
        <v>1.3243902439024391</v>
      </c>
    </row>
    <row r="34" spans="2:7" ht="15" thickBot="1" x14ac:dyDescent="0.25">
      <c r="B34" s="5" t="s">
        <v>64</v>
      </c>
      <c r="C34" s="6">
        <f>[776]Tasas!$B$36</f>
        <v>0.98224820192333595</v>
      </c>
      <c r="D34" s="6">
        <f>[776]Tasas!$B$17</f>
        <v>0.9664380714879468</v>
      </c>
      <c r="E34" s="6">
        <f>[776]Tasas!$B$28</f>
        <v>1.0228792094008221</v>
      </c>
      <c r="F34" s="6">
        <f>[776]Tasas!$B$31</f>
        <v>0.78748758689175768</v>
      </c>
      <c r="G34" s="6">
        <f>[776]Tasas!$B$35</f>
        <v>0.7206309672063097</v>
      </c>
    </row>
    <row r="35" spans="2:7" ht="15" thickBot="1" x14ac:dyDescent="0.25">
      <c r="B35" s="5" t="s">
        <v>65</v>
      </c>
      <c r="C35" s="6">
        <f>[777]Tasas!$B$36</f>
        <v>0.97260913356425183</v>
      </c>
      <c r="D35" s="6">
        <f>[777]Tasas!$B$17</f>
        <v>0.973629292354392</v>
      </c>
      <c r="E35" s="6">
        <f>[777]Tasas!$B$28</f>
        <v>0.96081943356095378</v>
      </c>
      <c r="F35" s="6">
        <f>[777]Tasas!$B$31</f>
        <v>0.91469194312796209</v>
      </c>
      <c r="G35" s="6">
        <f>[777]Tasas!$B$35</f>
        <v>1.1311120726958026</v>
      </c>
    </row>
    <row r="36" spans="2:7" ht="15" thickBot="1" x14ac:dyDescent="0.25">
      <c r="B36" s="5" t="s">
        <v>32</v>
      </c>
      <c r="C36" s="6">
        <f>[778]Tasas!$B$36</f>
        <v>0.97828890612681896</v>
      </c>
      <c r="D36" s="6">
        <f>[778]Tasas!$B$17</f>
        <v>0.95532758803717388</v>
      </c>
      <c r="E36" s="6">
        <f>[778]Tasas!$B$28</f>
        <v>0.99083492184521538</v>
      </c>
      <c r="F36" s="6">
        <f>[778]Tasas!$B$31</f>
        <v>0.92787135395269671</v>
      </c>
      <c r="G36" s="6">
        <f>[778]Tasas!$B$35</f>
        <v>0.83061347839226352</v>
      </c>
    </row>
    <row r="37" spans="2:7" ht="15" thickBot="1" x14ac:dyDescent="0.25">
      <c r="B37" s="5" t="s">
        <v>66</v>
      </c>
      <c r="C37" s="6">
        <f>[779]Tasas!$B$36</f>
        <v>1.0042359976099859</v>
      </c>
      <c r="D37" s="6">
        <f>[779]Tasas!$B$17</f>
        <v>0.94265155183064264</v>
      </c>
      <c r="E37" s="6">
        <f>[779]Tasas!$B$28</f>
        <v>1.0141470496143008</v>
      </c>
      <c r="F37" s="6">
        <f>[779]Tasas!$B$31</f>
        <v>1.0245003223726628</v>
      </c>
      <c r="G37" s="6">
        <f>[779]Tasas!$B$35</f>
        <v>1.0106198867212084</v>
      </c>
    </row>
    <row r="38" spans="2:7" ht="15" thickBot="1" x14ac:dyDescent="0.25">
      <c r="B38" s="5" t="s">
        <v>33</v>
      </c>
      <c r="C38" s="6">
        <f>[780]Tasas!$B$36</f>
        <v>0.99327001290959638</v>
      </c>
      <c r="D38" s="6">
        <f>[780]Tasas!$B$17</f>
        <v>0.94316061432467346</v>
      </c>
      <c r="E38" s="6">
        <f>[780]Tasas!$B$28</f>
        <v>1.0100834932214469</v>
      </c>
      <c r="F38" s="6">
        <f>[780]Tasas!$B$31</f>
        <v>0.87827740796087483</v>
      </c>
      <c r="G38" s="6">
        <f>[780]Tasas!$B$35</f>
        <v>0.96303501945525294</v>
      </c>
    </row>
    <row r="39" spans="2:7" ht="15" thickBot="1" x14ac:dyDescent="0.25">
      <c r="B39" s="5" t="s">
        <v>34</v>
      </c>
      <c r="C39" s="6">
        <f>[781]Tasas!$B$36</f>
        <v>0.99135018245708884</v>
      </c>
      <c r="D39" s="6">
        <f>[781]Tasas!$B$17</f>
        <v>1.0036814159292036</v>
      </c>
      <c r="E39" s="6">
        <f>[781]Tasas!$B$28</f>
        <v>0.99038400708546848</v>
      </c>
      <c r="F39" s="6">
        <f>[781]Tasas!$B$31</f>
        <v>0.89239332096474955</v>
      </c>
      <c r="G39" s="6">
        <f>[781]Tasas!$B$35</f>
        <v>1.0107482430756511</v>
      </c>
    </row>
    <row r="40" spans="2:7" ht="15" thickBot="1" x14ac:dyDescent="0.25">
      <c r="B40" s="5" t="s">
        <v>67</v>
      </c>
      <c r="C40" s="6">
        <f>[782]Tasas!$B$36</f>
        <v>0.95962095042479689</v>
      </c>
      <c r="D40" s="6">
        <f>[782]Tasas!$B$17</f>
        <v>0.94138039710053578</v>
      </c>
      <c r="E40" s="6">
        <f>[782]Tasas!$B$28</f>
        <v>0.96113998323554062</v>
      </c>
      <c r="F40" s="6">
        <f>[782]Tasas!$B$31</f>
        <v>0.94972677595628419</v>
      </c>
      <c r="G40" s="6">
        <f>[782]Tasas!$B$35</f>
        <v>1.0127659574468084</v>
      </c>
    </row>
    <row r="41" spans="2:7" ht="15" thickBot="1" x14ac:dyDescent="0.25">
      <c r="B41" s="5" t="s">
        <v>31</v>
      </c>
      <c r="C41" s="6">
        <f>[783]Tasas!$B$36</f>
        <v>1.0073681682149558</v>
      </c>
      <c r="D41" s="6">
        <f>[783]Tasas!$B$17</f>
        <v>0.98440703708391342</v>
      </c>
      <c r="E41" s="6">
        <f>[783]Tasas!$B$28</f>
        <v>1.013375575466561</v>
      </c>
      <c r="F41" s="6">
        <f>[783]Tasas!$B$31</f>
        <v>0.92189533975527205</v>
      </c>
      <c r="G41" s="6">
        <f>[783]Tasas!$B$35</f>
        <v>1.0722394220846234</v>
      </c>
    </row>
    <row r="42" spans="2:7" ht="15" thickBot="1" x14ac:dyDescent="0.25">
      <c r="B42" s="5" t="s">
        <v>68</v>
      </c>
      <c r="C42" s="6">
        <f>[784]Tasas!$B$36</f>
        <v>0.96852300242130751</v>
      </c>
      <c r="D42" s="6">
        <f>[784]Tasas!$B$17</f>
        <v>0.98798856053384176</v>
      </c>
      <c r="E42" s="6">
        <f>[784]Tasas!$B$28</f>
        <v>0.96844919786096262</v>
      </c>
      <c r="F42" s="6">
        <f>[784]Tasas!$B$31</f>
        <v>0.82318271119842834</v>
      </c>
      <c r="G42" s="6">
        <f>[784]Tasas!$B$35</f>
        <v>0.94043887147335425</v>
      </c>
    </row>
    <row r="43" spans="2:7" ht="15" thickBot="1" x14ac:dyDescent="0.25">
      <c r="B43" s="5" t="s">
        <v>69</v>
      </c>
      <c r="C43" s="6">
        <f>[785]Tasas!$B$36</f>
        <v>1.0027335410196108</v>
      </c>
      <c r="D43" s="6">
        <f>[785]Tasas!$B$17</f>
        <v>0.98125331061007348</v>
      </c>
      <c r="E43" s="6">
        <f>[785]Tasas!$B$28</f>
        <v>1.0011423601420162</v>
      </c>
      <c r="F43" s="6">
        <f>[785]Tasas!$B$31</f>
        <v>1.3753157704799712</v>
      </c>
      <c r="G43" s="6">
        <f>[785]Tasas!$B$35</f>
        <v>1.0149328859060402</v>
      </c>
    </row>
    <row r="44" spans="2:7" ht="15" thickBot="1" x14ac:dyDescent="0.25">
      <c r="B44" s="5" t="s">
        <v>70</v>
      </c>
      <c r="C44" s="6">
        <f>[786]Tasas!$B$36</f>
        <v>1.0025477070636428</v>
      </c>
      <c r="D44" s="6">
        <f>[786]Tasas!$B$17</f>
        <v>0.97335845774749963</v>
      </c>
      <c r="E44" s="6">
        <f>[786]Tasas!$B$28</f>
        <v>1.0110205625472801</v>
      </c>
      <c r="F44" s="6">
        <f>[786]Tasas!$B$31</f>
        <v>0.93538974572738642</v>
      </c>
      <c r="G44" s="6">
        <f>[786]Tasas!$B$35</f>
        <v>1.0288933834151979</v>
      </c>
    </row>
    <row r="45" spans="2:7" ht="15" thickBot="1" x14ac:dyDescent="0.25">
      <c r="B45" s="5" t="s">
        <v>71</v>
      </c>
      <c r="C45" s="6">
        <f>[787]Tasas!$B$36</f>
        <v>0.97589664082687344</v>
      </c>
      <c r="D45" s="6">
        <f>[787]Tasas!$B$17</f>
        <v>0.95219532211735736</v>
      </c>
      <c r="E45" s="6">
        <f>[787]Tasas!$B$28</f>
        <v>0.98516312214675428</v>
      </c>
      <c r="F45" s="6">
        <f>[787]Tasas!$B$31</f>
        <v>0.9958932238193019</v>
      </c>
      <c r="G45" s="6">
        <f>[787]Tasas!$B$35</f>
        <v>0.90572585309427411</v>
      </c>
    </row>
    <row r="46" spans="2:7" ht="15" thickBot="1" x14ac:dyDescent="0.25">
      <c r="B46" s="5" t="s">
        <v>72</v>
      </c>
      <c r="C46" s="6">
        <f>[788]Tasas!$B$36</f>
        <v>0.96898909730041471</v>
      </c>
      <c r="D46" s="6">
        <f>[788]Tasas!$B$17</f>
        <v>0.9976299305908245</v>
      </c>
      <c r="E46" s="6">
        <f>[788]Tasas!$B$28</f>
        <v>0.97723967422920299</v>
      </c>
      <c r="F46" s="6">
        <f>[788]Tasas!$B$31</f>
        <v>0.625</v>
      </c>
      <c r="G46" s="6">
        <f>[788]Tasas!$B$35</f>
        <v>0.77898039215686277</v>
      </c>
    </row>
    <row r="47" spans="2:7" ht="15" thickBot="1" x14ac:dyDescent="0.25">
      <c r="B47" s="5" t="s">
        <v>5</v>
      </c>
      <c r="C47" s="6">
        <f>[789]Tasas!$B$36</f>
        <v>0.9860590266742939</v>
      </c>
      <c r="D47" s="6">
        <f>[789]Tasas!$B$17</f>
        <v>0.94888645491055135</v>
      </c>
      <c r="E47" s="6">
        <f>[789]Tasas!$B$28</f>
        <v>1.0057314369315697</v>
      </c>
      <c r="F47" s="6">
        <f>[789]Tasas!$B$31</f>
        <v>0.7902702702702703</v>
      </c>
      <c r="G47" s="6">
        <f>[789]Tasas!$B$35</f>
        <v>0.95663206459054206</v>
      </c>
    </row>
    <row r="48" spans="2:7" ht="15" thickBot="1" x14ac:dyDescent="0.25">
      <c r="B48" s="5" t="s">
        <v>73</v>
      </c>
      <c r="C48" s="6">
        <f>[790]Tasas!$B$36</f>
        <v>0.9463512162612463</v>
      </c>
      <c r="D48" s="6">
        <f>[790]Tasas!$B$17</f>
        <v>0.93638463153474705</v>
      </c>
      <c r="E48" s="6">
        <f>[790]Tasas!$B$28</f>
        <v>0.95365418894830656</v>
      </c>
      <c r="F48" s="6">
        <f>[790]Tasas!$B$31</f>
        <v>0.89749999999999996</v>
      </c>
      <c r="G48" s="6">
        <f>[790]Tasas!$B$35</f>
        <v>0.88378766140602583</v>
      </c>
    </row>
    <row r="49" spans="2:7" ht="15" thickBot="1" x14ac:dyDescent="0.25">
      <c r="B49" s="5" t="s">
        <v>74</v>
      </c>
      <c r="C49" s="6">
        <f>[791]Tasas!$B$36</f>
        <v>0.9952366836169787</v>
      </c>
      <c r="D49" s="6">
        <f>[791]Tasas!$B$17</f>
        <v>0.94441654689962073</v>
      </c>
      <c r="E49" s="6">
        <f>[791]Tasas!$B$28</f>
        <v>0.99925134741603827</v>
      </c>
      <c r="F49" s="6">
        <f>[791]Tasas!$B$31</f>
        <v>1.0963500159387951</v>
      </c>
      <c r="G49" s="6">
        <f>[791]Tasas!$B$35</f>
        <v>1.0390121298218773</v>
      </c>
    </row>
    <row r="50" spans="2:7" ht="15" thickBot="1" x14ac:dyDescent="0.25">
      <c r="B50" s="5" t="s">
        <v>75</v>
      </c>
      <c r="C50" s="6">
        <f>[792]Tasas!$B$36</f>
        <v>1.0238116158509798</v>
      </c>
      <c r="D50" s="6">
        <f>[792]Tasas!$B$17</f>
        <v>1.078284547311096</v>
      </c>
      <c r="E50" s="6">
        <f>[792]Tasas!$B$28</f>
        <v>1.0060951886914797</v>
      </c>
      <c r="F50" s="6">
        <f>[792]Tasas!$B$31</f>
        <v>0.82846715328467158</v>
      </c>
      <c r="G50" s="6">
        <f>[792]Tasas!$B$35</f>
        <v>1.0895196506550218</v>
      </c>
    </row>
    <row r="51" spans="2:7" ht="15" thickBot="1" x14ac:dyDescent="0.25">
      <c r="B51" s="5" t="s">
        <v>76</v>
      </c>
      <c r="C51" s="6">
        <f>[793]Tasas!$B$36</f>
        <v>0.98433507312564561</v>
      </c>
      <c r="D51" s="6">
        <f>[793]Tasas!$B$17</f>
        <v>0.95443421512644211</v>
      </c>
      <c r="E51" s="6">
        <f>[793]Tasas!$B$28</f>
        <v>0.99386471569759982</v>
      </c>
      <c r="F51" s="6">
        <f>[793]Tasas!$B$31</f>
        <v>0.91581868640148012</v>
      </c>
      <c r="G51" s="6">
        <f>[793]Tasas!$B$35</f>
        <v>0.90622286541244568</v>
      </c>
    </row>
    <row r="52" spans="2:7" ht="15" thickBot="1" x14ac:dyDescent="0.25">
      <c r="B52" s="5" t="s">
        <v>77</v>
      </c>
      <c r="C52" s="6">
        <f>[794]Tasas!$B$36</f>
        <v>0.9686147186147186</v>
      </c>
      <c r="D52" s="6">
        <f>[794]Tasas!$B$17</f>
        <v>1.1055581503970107</v>
      </c>
      <c r="E52" s="6">
        <f>[794]Tasas!$B$28</f>
        <v>0.95609220636663006</v>
      </c>
      <c r="F52" s="6">
        <f>[794]Tasas!$B$31</f>
        <v>0.93333333333333335</v>
      </c>
      <c r="G52" s="6">
        <f>[794]Tasas!$B$35</f>
        <v>0.6324110671936759</v>
      </c>
    </row>
    <row r="53" spans="2:7" ht="15" thickBot="1" x14ac:dyDescent="0.25">
      <c r="B53" s="5" t="s">
        <v>78</v>
      </c>
      <c r="C53" s="6">
        <f>[795]Tasas!$B$36</f>
        <v>0.97521951987819766</v>
      </c>
      <c r="D53" s="6">
        <f>[795]Tasas!$B$17</f>
        <v>0.91263494602159134</v>
      </c>
      <c r="E53" s="6">
        <f>[795]Tasas!$B$28</f>
        <v>0.99738405834762578</v>
      </c>
      <c r="F53" s="6">
        <f>[795]Tasas!$B$31</f>
        <v>0.68262548262548262</v>
      </c>
      <c r="G53" s="6">
        <f>[795]Tasas!$B$35</f>
        <v>0.99307159353348728</v>
      </c>
    </row>
    <row r="54" spans="2:7" ht="15" thickBot="1" x14ac:dyDescent="0.25">
      <c r="B54" s="5" t="s">
        <v>79</v>
      </c>
      <c r="C54" s="6">
        <f>[796]Tasas!$B$36</f>
        <v>0.97179746923037003</v>
      </c>
      <c r="D54" s="6">
        <f>[796]Tasas!$B$17</f>
        <v>0.98645128887954492</v>
      </c>
      <c r="E54" s="6">
        <f>[796]Tasas!$B$28</f>
        <v>0.97516461738964899</v>
      </c>
      <c r="F54" s="6">
        <f>[796]Tasas!$B$31</f>
        <v>0.80978017048003592</v>
      </c>
      <c r="G54" s="6">
        <f>[796]Tasas!$B$35</f>
        <v>0.89728172366278347</v>
      </c>
    </row>
    <row r="55" spans="2:7" ht="15" thickBot="1" x14ac:dyDescent="0.25">
      <c r="B55" s="5" t="s">
        <v>80</v>
      </c>
      <c r="C55" s="6">
        <f>[797]Tasas!$B$36</f>
        <v>0.97586419834189542</v>
      </c>
      <c r="D55" s="6">
        <f>[797]Tasas!$B$17</f>
        <v>0.94653040483315454</v>
      </c>
      <c r="E55" s="6">
        <f>[797]Tasas!$B$28</f>
        <v>0.99386826167099274</v>
      </c>
      <c r="F55" s="6">
        <f>[797]Tasas!$B$31</f>
        <v>0.98709677419354835</v>
      </c>
      <c r="G55" s="6">
        <f>[797]Tasas!$B$35</f>
        <v>0.85233441910966345</v>
      </c>
    </row>
    <row r="56" spans="2:7" ht="15" thickBot="1" x14ac:dyDescent="0.25">
      <c r="B56" s="5" t="s">
        <v>81</v>
      </c>
      <c r="C56" s="6">
        <f>[798]Tasas!$B$36</f>
        <v>0.99877109097458139</v>
      </c>
      <c r="D56" s="6">
        <f>[798]Tasas!$B$17</f>
        <v>0.97457398700248565</v>
      </c>
      <c r="E56" s="6">
        <f>[798]Tasas!$B$28</f>
        <v>1.0055145559814074</v>
      </c>
      <c r="F56" s="6">
        <f>[798]Tasas!$B$31</f>
        <v>0.85821455363840959</v>
      </c>
      <c r="G56" s="6">
        <f>[798]Tasas!$B$35</f>
        <v>1.0689283791060851</v>
      </c>
    </row>
    <row r="57" spans="2:7" ht="15" thickBot="1" x14ac:dyDescent="0.25">
      <c r="B57" s="5" t="s">
        <v>82</v>
      </c>
      <c r="C57" s="6">
        <f>[799]Tasas!$B$36</f>
        <v>0.95645967166309775</v>
      </c>
      <c r="D57" s="6">
        <f>[799]Tasas!$B$17</f>
        <v>0.93087557603686633</v>
      </c>
      <c r="E57" s="6">
        <f>[799]Tasas!$B$28</f>
        <v>0.96263395375070504</v>
      </c>
      <c r="F57" s="6">
        <f>[799]Tasas!$B$31</f>
        <v>1.5190615835777126</v>
      </c>
      <c r="G57" s="6">
        <f>[799]Tasas!$B$35</f>
        <v>0.79716981132075471</v>
      </c>
    </row>
    <row r="58" spans="2:7" ht="15" thickBot="1" x14ac:dyDescent="0.25">
      <c r="B58" s="5" t="s">
        <v>83</v>
      </c>
      <c r="C58" s="6">
        <f>[800]Tasas!$B$36</f>
        <v>0.99513822747617353</v>
      </c>
      <c r="D58" s="6">
        <f>[800]Tasas!$B$17</f>
        <v>0.97720413308241305</v>
      </c>
      <c r="E58" s="6">
        <f>[800]Tasas!$B$28</f>
        <v>0.99786795764770009</v>
      </c>
      <c r="F58" s="6">
        <f>[800]Tasas!$B$31</f>
        <v>1.1410670978172999</v>
      </c>
      <c r="G58" s="6">
        <f>[800]Tasas!$B$35</f>
        <v>0.95764167143674872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67919-523C-4D21-87EA-99409FF61E65}">
  <dimension ref="B7:G58"/>
  <sheetViews>
    <sheetView workbookViewId="0">
      <selection activeCell="A2" sqref="A2"/>
    </sheetView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f>[801]Tasas!$B$36</f>
        <v>0.99452796497897589</v>
      </c>
      <c r="D9" s="6">
        <f>[801]Tasas!$B$17</f>
        <v>0.95887940363111701</v>
      </c>
      <c r="E9" s="6">
        <f>[801]Tasas!$B$28</f>
        <v>1.0104112666321063</v>
      </c>
      <c r="F9" s="6">
        <f>[801]Tasas!$B$31</f>
        <v>0.86836363636363634</v>
      </c>
      <c r="G9" s="6">
        <f>[801]Tasas!$B$35</f>
        <v>1.0488841657810839</v>
      </c>
    </row>
    <row r="10" spans="2:7" s="8" customFormat="1" ht="20.100000000000001" customHeight="1" thickBot="1" x14ac:dyDescent="0.25">
      <c r="B10" s="5" t="s">
        <v>40</v>
      </c>
      <c r="C10" s="6">
        <f>[802]Tasas!$B$36</f>
        <v>0.9896207669217435</v>
      </c>
      <c r="D10" s="6">
        <f>[802]Tasas!$B$17</f>
        <v>0.99924048229374351</v>
      </c>
      <c r="E10" s="6">
        <f>[802]Tasas!$B$28</f>
        <v>0.99185623704059867</v>
      </c>
      <c r="F10" s="6">
        <f>[802]Tasas!$B$31</f>
        <v>1.0968109339407746</v>
      </c>
      <c r="G10" s="6">
        <f>[802]Tasas!$B$35</f>
        <v>0.88655462184873945</v>
      </c>
    </row>
    <row r="11" spans="2:7" s="8" customFormat="1" ht="20.100000000000001" customHeight="1" thickBot="1" x14ac:dyDescent="0.25">
      <c r="B11" s="5" t="s">
        <v>41</v>
      </c>
      <c r="C11" s="6">
        <f>[803]Tasas!$B$36</f>
        <v>0.97464668116998132</v>
      </c>
      <c r="D11" s="6">
        <f>[803]Tasas!$B$17</f>
        <v>0.900448337343558</v>
      </c>
      <c r="E11" s="6">
        <f>[803]Tasas!$B$28</f>
        <v>0.99176146734679782</v>
      </c>
      <c r="F11" s="6">
        <f>[803]Tasas!$B$31</f>
        <v>0.68664609960334955</v>
      </c>
      <c r="G11" s="6">
        <f>[803]Tasas!$B$35</f>
        <v>1.0150414937759336</v>
      </c>
    </row>
    <row r="12" spans="2:7" s="8" customFormat="1" ht="20.100000000000001" customHeight="1" thickBot="1" x14ac:dyDescent="0.25">
      <c r="B12" s="5" t="s">
        <v>42</v>
      </c>
      <c r="C12" s="6">
        <f>[804]Tasas!$B$36</f>
        <v>1.0017910590333057</v>
      </c>
      <c r="D12" s="6">
        <f>[804]Tasas!$B$17</f>
        <v>0.93054103142715616</v>
      </c>
      <c r="E12" s="6">
        <f>[804]Tasas!$B$28</f>
        <v>1.0169847215957009</v>
      </c>
      <c r="F12" s="6">
        <f>[804]Tasas!$B$31</f>
        <v>0.84853249475890991</v>
      </c>
      <c r="G12" s="6">
        <f>[804]Tasas!$B$35</f>
        <v>1.012314581584103</v>
      </c>
    </row>
    <row r="13" spans="2:7" s="8" customFormat="1" ht="20.100000000000001" customHeight="1" thickBot="1" x14ac:dyDescent="0.25">
      <c r="B13" s="5" t="s">
        <v>43</v>
      </c>
      <c r="C13" s="6">
        <f>[805]Tasas!$B$36</f>
        <v>0.96184817833644309</v>
      </c>
      <c r="D13" s="6">
        <f>[805]Tasas!$B$17</f>
        <v>0.92689173457508733</v>
      </c>
      <c r="E13" s="6">
        <f>[805]Tasas!$B$28</f>
        <v>0.9740912353977681</v>
      </c>
      <c r="F13" s="6">
        <f>[805]Tasas!$B$31</f>
        <v>0.86243386243386244</v>
      </c>
      <c r="G13" s="6">
        <f>[805]Tasas!$B$35</f>
        <v>0.96216216216216222</v>
      </c>
    </row>
    <row r="14" spans="2:7" s="8" customFormat="1" ht="20.100000000000001" customHeight="1" thickBot="1" x14ac:dyDescent="0.25">
      <c r="B14" s="5" t="s">
        <v>44</v>
      </c>
      <c r="C14" s="6">
        <f>[806]Tasas!$B$36</f>
        <v>0.98016509229569282</v>
      </c>
      <c r="D14" s="6">
        <f>[806]Tasas!$B$17</f>
        <v>0.94024645431295051</v>
      </c>
      <c r="E14" s="6">
        <f>[806]Tasas!$B$28</f>
        <v>0.99861397901168214</v>
      </c>
      <c r="F14" s="6">
        <f>[806]Tasas!$B$31</f>
        <v>0.85308848080133559</v>
      </c>
      <c r="G14" s="6">
        <f>[806]Tasas!$B$35</f>
        <v>0.8307101727447217</v>
      </c>
    </row>
    <row r="15" spans="2:7" s="8" customFormat="1" ht="20.100000000000001" customHeight="1" thickBot="1" x14ac:dyDescent="0.25">
      <c r="B15" s="5" t="s">
        <v>45</v>
      </c>
      <c r="C15" s="6">
        <f>[807]Tasas!$B$36</f>
        <v>0.94429095586837986</v>
      </c>
      <c r="D15" s="6">
        <f>[807]Tasas!$B$17</f>
        <v>0.89854141576341495</v>
      </c>
      <c r="E15" s="6">
        <f>[807]Tasas!$B$28</f>
        <v>0.95705832211199926</v>
      </c>
      <c r="F15" s="6">
        <f>[807]Tasas!$B$31</f>
        <v>0.79954827780914739</v>
      </c>
      <c r="G15" s="6">
        <f>[807]Tasas!$B$35</f>
        <v>0.92018108172504165</v>
      </c>
    </row>
    <row r="16" spans="2:7" s="8" customFormat="1" ht="20.100000000000001" customHeight="1" thickBot="1" x14ac:dyDescent="0.25">
      <c r="B16" s="5" t="s">
        <v>46</v>
      </c>
      <c r="C16" s="6">
        <f>[808]Tasas!$B$36</f>
        <v>0.97869489052430325</v>
      </c>
      <c r="D16" s="6">
        <f>[808]Tasas!$B$17</f>
        <v>0.94296292256700176</v>
      </c>
      <c r="E16" s="6">
        <f>[808]Tasas!$B$28</f>
        <v>0.99087365303915342</v>
      </c>
      <c r="F16" s="6">
        <f>[808]Tasas!$B$31</f>
        <v>0.78716577540106947</v>
      </c>
      <c r="G16" s="6">
        <f>[808]Tasas!$B$35</f>
        <v>0.97250226551880381</v>
      </c>
    </row>
    <row r="17" spans="2:7" s="8" customFormat="1" ht="20.100000000000001" customHeight="1" thickBot="1" x14ac:dyDescent="0.25">
      <c r="B17" s="5" t="s">
        <v>47</v>
      </c>
      <c r="C17" s="6">
        <f>[809]Tasas!$B$36</f>
        <v>0.95968170768763295</v>
      </c>
      <c r="D17" s="6">
        <f>[809]Tasas!$B$17</f>
        <v>0.94694819020581977</v>
      </c>
      <c r="E17" s="6">
        <f>[809]Tasas!$B$28</f>
        <v>0.96370436706526896</v>
      </c>
      <c r="F17" s="6">
        <f>[809]Tasas!$B$31</f>
        <v>0.73313492063492058</v>
      </c>
      <c r="G17" s="6">
        <f>[809]Tasas!$B$35</f>
        <v>1.0506224066390042</v>
      </c>
    </row>
    <row r="18" spans="2:7" s="8" customFormat="1" ht="20.100000000000001" customHeight="1" thickBot="1" x14ac:dyDescent="0.25">
      <c r="B18" s="5" t="s">
        <v>48</v>
      </c>
      <c r="C18" s="6">
        <f>[810]Tasas!$B$36</f>
        <v>0.98012899863183267</v>
      </c>
      <c r="D18" s="6">
        <f>[810]Tasas!$B$17</f>
        <v>0.93158783783783783</v>
      </c>
      <c r="E18" s="6">
        <f>[810]Tasas!$B$28</f>
        <v>0.99494742990654206</v>
      </c>
      <c r="F18" s="6">
        <f>[810]Tasas!$B$31</f>
        <v>0.99408983451536648</v>
      </c>
      <c r="G18" s="6">
        <f>[810]Tasas!$B$35</f>
        <v>0.94022834116856946</v>
      </c>
    </row>
    <row r="19" spans="2:7" s="8" customFormat="1" ht="20.100000000000001" customHeight="1" thickBot="1" x14ac:dyDescent="0.25">
      <c r="B19" s="5" t="s">
        <v>49</v>
      </c>
      <c r="C19" s="6">
        <f>[811]Tasas!$B$36</f>
        <v>0.99290056145886507</v>
      </c>
      <c r="D19" s="6">
        <f>[811]Tasas!$B$17</f>
        <v>0.95788185948968896</v>
      </c>
      <c r="E19" s="6">
        <f>[811]Tasas!$B$28</f>
        <v>1.0082013957070544</v>
      </c>
      <c r="F19" s="6">
        <f>[811]Tasas!$B$31</f>
        <v>0.77957359009628613</v>
      </c>
      <c r="G19" s="6">
        <f>[811]Tasas!$B$35</f>
        <v>0.96261150123363071</v>
      </c>
    </row>
    <row r="20" spans="2:7" s="8" customFormat="1" ht="20.100000000000001" customHeight="1" thickBot="1" x14ac:dyDescent="0.25">
      <c r="B20" s="5" t="s">
        <v>50</v>
      </c>
      <c r="C20" s="6">
        <f>[812]Tasas!$B$36</f>
        <v>0.96506708441233202</v>
      </c>
      <c r="D20" s="6">
        <f>[812]Tasas!$B$17</f>
        <v>0.93604396977078264</v>
      </c>
      <c r="E20" s="6">
        <f>[812]Tasas!$B$28</f>
        <v>0.97551253622104017</v>
      </c>
      <c r="F20" s="6">
        <f>[812]Tasas!$B$31</f>
        <v>0.73079968329374501</v>
      </c>
      <c r="G20" s="6">
        <f>[812]Tasas!$B$35</f>
        <v>0.96269633507853403</v>
      </c>
    </row>
    <row r="21" spans="2:7" s="8" customFormat="1" ht="20.100000000000001" customHeight="1" thickBot="1" x14ac:dyDescent="0.25">
      <c r="B21" s="5" t="s">
        <v>51</v>
      </c>
      <c r="C21" s="6">
        <f>[813]Tasas!$B$36</f>
        <v>0.94138076830152206</v>
      </c>
      <c r="D21" s="6">
        <f>[813]Tasas!$B$17</f>
        <v>0.92521694742215421</v>
      </c>
      <c r="E21" s="6">
        <f>[813]Tasas!$B$28</f>
        <v>0.96058156418004159</v>
      </c>
      <c r="F21" s="6">
        <f>[813]Tasas!$B$31</f>
        <v>1.0067001675041876</v>
      </c>
      <c r="G21" s="6">
        <f>[813]Tasas!$B$35</f>
        <v>0.65669074647402825</v>
      </c>
    </row>
    <row r="22" spans="2:7" s="8" customFormat="1" ht="15" thickBot="1" x14ac:dyDescent="0.25">
      <c r="B22" s="5" t="s">
        <v>52</v>
      </c>
      <c r="C22" s="6">
        <f>[814]Tasas!$B$36</f>
        <v>0.98898034524554579</v>
      </c>
      <c r="D22" s="6">
        <f>[814]Tasas!$B$17</f>
        <v>0.97727703984819736</v>
      </c>
      <c r="E22" s="6">
        <f>[814]Tasas!$B$28</f>
        <v>1.0065950920245399</v>
      </c>
      <c r="F22" s="6">
        <f>[814]Tasas!$B$31</f>
        <v>0.80848484848484847</v>
      </c>
      <c r="G22" s="6">
        <f>[814]Tasas!$B$35</f>
        <v>0.77154853050135841</v>
      </c>
    </row>
    <row r="23" spans="2:7" s="8" customFormat="1" ht="20.100000000000001" customHeight="1" thickBot="1" x14ac:dyDescent="0.25">
      <c r="B23" s="5" t="s">
        <v>53</v>
      </c>
      <c r="C23" s="6">
        <f>[815]Tasas!$B$36</f>
        <v>0.96920043758941132</v>
      </c>
      <c r="D23" s="6">
        <f>[815]Tasas!$B$17</f>
        <v>0.94312008312305184</v>
      </c>
      <c r="E23" s="6">
        <f>[815]Tasas!$B$28</f>
        <v>0.9909186888599284</v>
      </c>
      <c r="F23" s="6">
        <f>[815]Tasas!$B$31</f>
        <v>0.82547699214365877</v>
      </c>
      <c r="G23" s="6">
        <f>[815]Tasas!$B$35</f>
        <v>0.81152430511486229</v>
      </c>
    </row>
    <row r="24" spans="2:7" s="8" customFormat="1" ht="20.100000000000001" customHeight="1" thickBot="1" x14ac:dyDescent="0.25">
      <c r="B24" s="5" t="s">
        <v>54</v>
      </c>
      <c r="C24" s="6">
        <f>[816]Tasas!$B$36</f>
        <v>0.95526046986721147</v>
      </c>
      <c r="D24" s="6">
        <f>[816]Tasas!$B$17</f>
        <v>0.9073522106308991</v>
      </c>
      <c r="E24" s="6">
        <f>[816]Tasas!$B$28</f>
        <v>0.97582001682085784</v>
      </c>
      <c r="F24" s="6">
        <f>[816]Tasas!$B$31</f>
        <v>0.94545454545454544</v>
      </c>
      <c r="G24" s="6">
        <f>[816]Tasas!$B$35</f>
        <v>0.72073170731707314</v>
      </c>
    </row>
    <row r="25" spans="2:7" s="8" customFormat="1" ht="20.100000000000001" customHeight="1" thickBot="1" x14ac:dyDescent="0.25">
      <c r="B25" s="5" t="s">
        <v>55</v>
      </c>
      <c r="C25" s="6">
        <f>[817]Tasas!$B$36</f>
        <v>0.98459119777755943</v>
      </c>
      <c r="D25" s="6">
        <f>[817]Tasas!$B$17</f>
        <v>0.9517183321778746</v>
      </c>
      <c r="E25" s="6">
        <f>[817]Tasas!$B$28</f>
        <v>0.99579731164989782</v>
      </c>
      <c r="F25" s="6">
        <f>[817]Tasas!$B$31</f>
        <v>0.90745856353591159</v>
      </c>
      <c r="G25" s="6">
        <f>[817]Tasas!$B$35</f>
        <v>0.90962099125364426</v>
      </c>
    </row>
    <row r="26" spans="2:7" s="8" customFormat="1" ht="20.100000000000001" customHeight="1" thickBot="1" x14ac:dyDescent="0.25">
      <c r="B26" s="5" t="s">
        <v>56</v>
      </c>
      <c r="C26" s="6">
        <f>[818]Tasas!$B$36</f>
        <v>0.99848017358981167</v>
      </c>
      <c r="D26" s="6">
        <f>[818]Tasas!$B$17</f>
        <v>0.96571903574397344</v>
      </c>
      <c r="E26" s="6">
        <f>[818]Tasas!$B$28</f>
        <v>1.0117154149303691</v>
      </c>
      <c r="F26" s="6">
        <f>[818]Tasas!$B$31</f>
        <v>0.72344437460716526</v>
      </c>
      <c r="G26" s="6">
        <f>[818]Tasas!$B$35</f>
        <v>0.99213299688288559</v>
      </c>
    </row>
    <row r="27" spans="2:7" ht="15" thickBot="1" x14ac:dyDescent="0.25">
      <c r="B27" s="5" t="s">
        <v>57</v>
      </c>
      <c r="C27" s="6">
        <f>[819]Tasas!$B$36</f>
        <v>0.97405196168481822</v>
      </c>
      <c r="D27" s="6">
        <f>[819]Tasas!$B$17</f>
        <v>0.9607136078952363</v>
      </c>
      <c r="E27" s="6">
        <f>[819]Tasas!$B$28</f>
        <v>0.97957594115101687</v>
      </c>
      <c r="F27" s="6">
        <f>[819]Tasas!$B$31</f>
        <v>0.96735395189003437</v>
      </c>
      <c r="G27" s="6">
        <f>[819]Tasas!$B$35</f>
        <v>0.93893630991464216</v>
      </c>
    </row>
    <row r="28" spans="2:7" ht="15" thickBot="1" x14ac:dyDescent="0.25">
      <c r="B28" s="5" t="s">
        <v>58</v>
      </c>
      <c r="C28" s="6">
        <f>[820]Tasas!$B$36</f>
        <v>0.97033563192873895</v>
      </c>
      <c r="D28" s="6">
        <f>[820]Tasas!$B$17</f>
        <v>0.9593349358974359</v>
      </c>
      <c r="E28" s="6">
        <f>[820]Tasas!$B$28</f>
        <v>0.97210798872896198</v>
      </c>
      <c r="F28" s="6">
        <f>[820]Tasas!$B$31</f>
        <v>0.97272727272727277</v>
      </c>
      <c r="G28" s="6">
        <f>[820]Tasas!$B$35</f>
        <v>0.99021019291678669</v>
      </c>
    </row>
    <row r="29" spans="2:7" ht="15" thickBot="1" x14ac:dyDescent="0.25">
      <c r="B29" s="5" t="s">
        <v>59</v>
      </c>
      <c r="C29" s="6">
        <f>[821]Tasas!$B$36</f>
        <v>0.96127680610155131</v>
      </c>
      <c r="D29" s="6">
        <f>[821]Tasas!$B$17</f>
        <v>0.95042862467387257</v>
      </c>
      <c r="E29" s="6">
        <f>[821]Tasas!$B$28</f>
        <v>0.97541989760785608</v>
      </c>
      <c r="F29" s="6">
        <f>[821]Tasas!$B$31</f>
        <v>0.62255097960815675</v>
      </c>
      <c r="G29" s="6">
        <f>[821]Tasas!$B$35</f>
        <v>0.98262032085561501</v>
      </c>
    </row>
    <row r="30" spans="2:7" ht="15" thickBot="1" x14ac:dyDescent="0.25">
      <c r="B30" s="5" t="s">
        <v>60</v>
      </c>
      <c r="C30" s="6">
        <f>[822]Tasas!$B$36</f>
        <v>0.9167014091553406</v>
      </c>
      <c r="D30" s="6">
        <f>[822]Tasas!$B$17</f>
        <v>0.89718755820450735</v>
      </c>
      <c r="E30" s="6">
        <f>[822]Tasas!$B$28</f>
        <v>0.92750533049040507</v>
      </c>
      <c r="F30" s="6">
        <f>[822]Tasas!$B$31</f>
        <v>0.91537132987910186</v>
      </c>
      <c r="G30" s="6">
        <f>[822]Tasas!$B$35</f>
        <v>0.79708029197080288</v>
      </c>
    </row>
    <row r="31" spans="2:7" ht="15" thickBot="1" x14ac:dyDescent="0.25">
      <c r="B31" s="5" t="s">
        <v>61</v>
      </c>
      <c r="C31" s="6">
        <f>[823]Tasas!$B$36</f>
        <v>0.97999532198298678</v>
      </c>
      <c r="D31" s="6">
        <f>[823]Tasas!$B$17</f>
        <v>0.93329886246122029</v>
      </c>
      <c r="E31" s="6">
        <f>[823]Tasas!$B$28</f>
        <v>0.99939256909526542</v>
      </c>
      <c r="F31" s="6">
        <f>[823]Tasas!$B$31</f>
        <v>0.74556213017751483</v>
      </c>
      <c r="G31" s="6">
        <f>[823]Tasas!$B$35</f>
        <v>1.0347688660608456</v>
      </c>
    </row>
    <row r="32" spans="2:7" ht="15" thickBot="1" x14ac:dyDescent="0.25">
      <c r="B32" s="5" t="s">
        <v>62</v>
      </c>
      <c r="C32" s="6">
        <f>[824]Tasas!$B$36</f>
        <v>0.98547340033640551</v>
      </c>
      <c r="D32" s="6">
        <f>[824]Tasas!$B$17</f>
        <v>0.97529511987343309</v>
      </c>
      <c r="E32" s="6">
        <f>[824]Tasas!$B$28</f>
        <v>1.0051193179554598</v>
      </c>
      <c r="F32" s="6">
        <f>[824]Tasas!$B$31</f>
        <v>0.8271276595744681</v>
      </c>
      <c r="G32" s="6">
        <f>[824]Tasas!$B$35</f>
        <v>0.83201533668823391</v>
      </c>
    </row>
    <row r="33" spans="2:7" ht="15" thickBot="1" x14ac:dyDescent="0.25">
      <c r="B33" s="5" t="s">
        <v>63</v>
      </c>
      <c r="C33" s="6">
        <f>[825]Tasas!$B$36</f>
        <v>0.97267705855758457</v>
      </c>
      <c r="D33" s="6">
        <f>[825]Tasas!$B$17</f>
        <v>0.89522793921620902</v>
      </c>
      <c r="E33" s="6">
        <f>[825]Tasas!$B$28</f>
        <v>0.99581054036024019</v>
      </c>
      <c r="F33" s="6">
        <f>[825]Tasas!$B$31</f>
        <v>0.97297297297297303</v>
      </c>
      <c r="G33" s="6">
        <f>[825]Tasas!$B$35</f>
        <v>0.97565922920892489</v>
      </c>
    </row>
    <row r="34" spans="2:7" ht="15" thickBot="1" x14ac:dyDescent="0.25">
      <c r="B34" s="5" t="s">
        <v>64</v>
      </c>
      <c r="C34" s="6">
        <f>[826]Tasas!$B$36</f>
        <v>0.97227496091132459</v>
      </c>
      <c r="D34" s="6">
        <f>[826]Tasas!$B$17</f>
        <v>0.96229293809938976</v>
      </c>
      <c r="E34" s="6">
        <f>[826]Tasas!$B$28</f>
        <v>0.98379275140377742</v>
      </c>
      <c r="F34" s="6">
        <f>[826]Tasas!$B$31</f>
        <v>1.0610500610500611</v>
      </c>
      <c r="G34" s="6">
        <f>[826]Tasas!$B$35</f>
        <v>0.86338089061824475</v>
      </c>
    </row>
    <row r="35" spans="2:7" ht="15" thickBot="1" x14ac:dyDescent="0.25">
      <c r="B35" s="5" t="s">
        <v>65</v>
      </c>
      <c r="C35" s="6">
        <f>[827]Tasas!$B$36</f>
        <v>0.98672509343987624</v>
      </c>
      <c r="D35" s="6">
        <f>[827]Tasas!$B$17</f>
        <v>0.98490081910589167</v>
      </c>
      <c r="E35" s="6">
        <f>[827]Tasas!$B$28</f>
        <v>0.99920581344557835</v>
      </c>
      <c r="F35" s="6">
        <f>[827]Tasas!$B$31</f>
        <v>0.61141011840688908</v>
      </c>
      <c r="G35" s="6">
        <f>[827]Tasas!$B$35</f>
        <v>1.007450980392157</v>
      </c>
    </row>
    <row r="36" spans="2:7" ht="15" thickBot="1" x14ac:dyDescent="0.25">
      <c r="B36" s="5" t="s">
        <v>32</v>
      </c>
      <c r="C36" s="6">
        <f>[828]Tasas!$B$36</f>
        <v>0.97254647386604443</v>
      </c>
      <c r="D36" s="6">
        <f>[828]Tasas!$B$17</f>
        <v>0.97570452511405559</v>
      </c>
      <c r="E36" s="6">
        <f>[828]Tasas!$B$28</f>
        <v>0.98919194058755378</v>
      </c>
      <c r="F36" s="6">
        <f>[828]Tasas!$B$31</f>
        <v>0.58888255224932062</v>
      </c>
      <c r="G36" s="6">
        <f>[828]Tasas!$B$35</f>
        <v>0.85455772775657501</v>
      </c>
    </row>
    <row r="37" spans="2:7" ht="15" thickBot="1" x14ac:dyDescent="0.25">
      <c r="B37" s="5" t="s">
        <v>66</v>
      </c>
      <c r="C37" s="6">
        <f>[829]Tasas!$B$36</f>
        <v>0.99225464615355663</v>
      </c>
      <c r="D37" s="6">
        <f>[829]Tasas!$B$17</f>
        <v>0.94182047357522281</v>
      </c>
      <c r="E37" s="6">
        <f>[829]Tasas!$B$28</f>
        <v>1.0109882207424241</v>
      </c>
      <c r="F37" s="6">
        <f>[829]Tasas!$B$31</f>
        <v>0.62314068354717833</v>
      </c>
      <c r="G37" s="6">
        <f>[829]Tasas!$B$35</f>
        <v>0.95690844962429078</v>
      </c>
    </row>
    <row r="38" spans="2:7" ht="15" thickBot="1" x14ac:dyDescent="0.25">
      <c r="B38" s="5" t="s">
        <v>33</v>
      </c>
      <c r="C38" s="6">
        <f>[830]Tasas!$B$36</f>
        <v>0.96556220834842643</v>
      </c>
      <c r="D38" s="6">
        <f>[830]Tasas!$B$17</f>
        <v>0.97567057045712124</v>
      </c>
      <c r="E38" s="6">
        <f>[830]Tasas!$B$28</f>
        <v>0.97153506149521951</v>
      </c>
      <c r="F38" s="6">
        <f>[830]Tasas!$B$31</f>
        <v>0.95235241234641899</v>
      </c>
      <c r="G38" s="6">
        <f>[830]Tasas!$B$35</f>
        <v>0.81725507028651145</v>
      </c>
    </row>
    <row r="39" spans="2:7" ht="15" thickBot="1" x14ac:dyDescent="0.25">
      <c r="B39" s="5" t="s">
        <v>34</v>
      </c>
      <c r="C39" s="6">
        <f>[831]Tasas!$B$36</f>
        <v>0.98517450170213872</v>
      </c>
      <c r="D39" s="6">
        <f>[831]Tasas!$B$17</f>
        <v>0.95379300417446378</v>
      </c>
      <c r="E39" s="6">
        <f>[831]Tasas!$B$28</f>
        <v>0.99405387091309505</v>
      </c>
      <c r="F39" s="6">
        <f>[831]Tasas!$B$31</f>
        <v>1.0302811824080751</v>
      </c>
      <c r="G39" s="6">
        <f>[831]Tasas!$B$35</f>
        <v>0.92832893247831005</v>
      </c>
    </row>
    <row r="40" spans="2:7" ht="15" thickBot="1" x14ac:dyDescent="0.25">
      <c r="B40" s="5" t="s">
        <v>67</v>
      </c>
      <c r="C40" s="6">
        <f>[832]Tasas!$B$36</f>
        <v>0.96014404593897518</v>
      </c>
      <c r="D40" s="6">
        <f>[832]Tasas!$B$17</f>
        <v>0.94808965276971313</v>
      </c>
      <c r="E40" s="6">
        <f>[832]Tasas!$B$28</f>
        <v>0.9557359419988205</v>
      </c>
      <c r="F40" s="6">
        <f>[832]Tasas!$B$31</f>
        <v>0.93076049943246308</v>
      </c>
      <c r="G40" s="6">
        <f>[832]Tasas!$B$35</f>
        <v>1.0525368837711406</v>
      </c>
    </row>
    <row r="41" spans="2:7" ht="15" thickBot="1" x14ac:dyDescent="0.25">
      <c r="B41" s="5" t="s">
        <v>31</v>
      </c>
      <c r="C41" s="6">
        <f>[833]Tasas!$B$36</f>
        <v>0.98755313903436881</v>
      </c>
      <c r="D41" s="6">
        <f>[833]Tasas!$B$17</f>
        <v>0.97678942249559708</v>
      </c>
      <c r="E41" s="6">
        <f>[833]Tasas!$B$28</f>
        <v>1.0024462748498173</v>
      </c>
      <c r="F41" s="6">
        <f>[833]Tasas!$B$31</f>
        <v>0.88549177963657344</v>
      </c>
      <c r="G41" s="6">
        <f>[833]Tasas!$B$35</f>
        <v>0.92940270409036452</v>
      </c>
    </row>
    <row r="42" spans="2:7" ht="15" thickBot="1" x14ac:dyDescent="0.25">
      <c r="B42" s="5" t="s">
        <v>68</v>
      </c>
      <c r="C42" s="6">
        <f>[834]Tasas!$B$36</f>
        <v>0.98072383949645947</v>
      </c>
      <c r="D42" s="6">
        <f>[834]Tasas!$B$17</f>
        <v>0.90230615580170692</v>
      </c>
      <c r="E42" s="6">
        <f>[834]Tasas!$B$28</f>
        <v>1.0204595530374567</v>
      </c>
      <c r="F42" s="6">
        <f>[834]Tasas!$B$31</f>
        <v>0.57516339869281041</v>
      </c>
      <c r="G42" s="6">
        <f>[834]Tasas!$B$35</f>
        <v>0.96786757546251212</v>
      </c>
    </row>
    <row r="43" spans="2:7" ht="15" thickBot="1" x14ac:dyDescent="0.25">
      <c r="B43" s="5" t="s">
        <v>69</v>
      </c>
      <c r="C43" s="6">
        <f>[835]Tasas!$B$36</f>
        <v>0.97737277604924244</v>
      </c>
      <c r="D43" s="6">
        <f>[835]Tasas!$B$17</f>
        <v>0.91755642970871965</v>
      </c>
      <c r="E43" s="6">
        <f>[835]Tasas!$B$28</f>
        <v>1.0003195760291346</v>
      </c>
      <c r="F43" s="6">
        <f>[835]Tasas!$B$31</f>
        <v>0.70152375261428146</v>
      </c>
      <c r="G43" s="6">
        <f>[835]Tasas!$B$35</f>
        <v>0.98012662680267326</v>
      </c>
    </row>
    <row r="44" spans="2:7" ht="15" thickBot="1" x14ac:dyDescent="0.25">
      <c r="B44" s="5" t="s">
        <v>70</v>
      </c>
      <c r="C44" s="6">
        <f>[836]Tasas!$B$36</f>
        <v>0.98862746873847707</v>
      </c>
      <c r="D44" s="6">
        <f>[836]Tasas!$B$17</f>
        <v>0.95234055446144528</v>
      </c>
      <c r="E44" s="6">
        <f>[836]Tasas!$B$28</f>
        <v>1.0001954895235388</v>
      </c>
      <c r="F44" s="6">
        <f>[836]Tasas!$B$31</f>
        <v>1.0041938490214353</v>
      </c>
      <c r="G44" s="6">
        <f>[836]Tasas!$B$35</f>
        <v>0.96866840731070492</v>
      </c>
    </row>
    <row r="45" spans="2:7" ht="15" thickBot="1" x14ac:dyDescent="0.25">
      <c r="B45" s="5" t="s">
        <v>71</v>
      </c>
      <c r="C45" s="6">
        <f>[837]Tasas!$B$36</f>
        <v>0.99443259385665528</v>
      </c>
      <c r="D45" s="6">
        <f>[837]Tasas!$B$17</f>
        <v>0.96531013772393082</v>
      </c>
      <c r="E45" s="6">
        <f>[837]Tasas!$B$28</f>
        <v>1.0163580696894592</v>
      </c>
      <c r="F45" s="6">
        <f>[837]Tasas!$B$31</f>
        <v>0.96078431372549022</v>
      </c>
      <c r="G45" s="6">
        <f>[837]Tasas!$B$35</f>
        <v>0.76572327044025157</v>
      </c>
    </row>
    <row r="46" spans="2:7" ht="15" thickBot="1" x14ac:dyDescent="0.25">
      <c r="B46" s="5" t="s">
        <v>72</v>
      </c>
      <c r="C46" s="6">
        <f>[838]Tasas!$B$36</f>
        <v>0.95507369860949298</v>
      </c>
      <c r="D46" s="6">
        <f>[838]Tasas!$B$17</f>
        <v>0.88721064326498467</v>
      </c>
      <c r="E46" s="6">
        <f>[838]Tasas!$B$28</f>
        <v>0.98062090466722884</v>
      </c>
      <c r="F46" s="6">
        <f>[838]Tasas!$B$31</f>
        <v>1.0635551142005959</v>
      </c>
      <c r="G46" s="6">
        <f>[838]Tasas!$B$35</f>
        <v>0.7605757416183957</v>
      </c>
    </row>
    <row r="47" spans="2:7" ht="15" thickBot="1" x14ac:dyDescent="0.25">
      <c r="B47" s="5" t="s">
        <v>5</v>
      </c>
      <c r="C47" s="6">
        <f>[839]Tasas!$B$36</f>
        <v>0.97908437264213755</v>
      </c>
      <c r="D47" s="6">
        <f>[839]Tasas!$B$17</f>
        <v>0.94331043823159522</v>
      </c>
      <c r="E47" s="6">
        <f>[839]Tasas!$B$28</f>
        <v>0.98359038597040638</v>
      </c>
      <c r="F47" s="6">
        <f>[839]Tasas!$B$31</f>
        <v>1.062376887721602</v>
      </c>
      <c r="G47" s="6">
        <f>[839]Tasas!$B$35</f>
        <v>1.0590841949778433</v>
      </c>
    </row>
    <row r="48" spans="2:7" ht="15" thickBot="1" x14ac:dyDescent="0.25">
      <c r="B48" s="5" t="s">
        <v>73</v>
      </c>
      <c r="C48" s="6">
        <f>[840]Tasas!$B$36</f>
        <v>0.9552136417091337</v>
      </c>
      <c r="D48" s="6">
        <f>[840]Tasas!$B$17</f>
        <v>0.88309982486865146</v>
      </c>
      <c r="E48" s="6">
        <f>[840]Tasas!$B$28</f>
        <v>0.97721026878477113</v>
      </c>
      <c r="F48" s="6">
        <f>[840]Tasas!$B$31</f>
        <v>0.90463215258855589</v>
      </c>
      <c r="G48" s="6">
        <f>[840]Tasas!$B$35</f>
        <v>0.99097472924187724</v>
      </c>
    </row>
    <row r="49" spans="2:7" ht="15" thickBot="1" x14ac:dyDescent="0.25">
      <c r="B49" s="5" t="s">
        <v>74</v>
      </c>
      <c r="C49" s="6">
        <f>[841]Tasas!$B$36</f>
        <v>0.97743282870054682</v>
      </c>
      <c r="D49" s="6">
        <f>[841]Tasas!$B$17</f>
        <v>0.97813017495860033</v>
      </c>
      <c r="E49" s="6">
        <f>[841]Tasas!$B$28</f>
        <v>0.99288932945890873</v>
      </c>
      <c r="F49" s="6">
        <f>[841]Tasas!$B$31</f>
        <v>0.50487106017191974</v>
      </c>
      <c r="G49" s="6">
        <f>[841]Tasas!$B$35</f>
        <v>1.0816812913010507</v>
      </c>
    </row>
    <row r="50" spans="2:7" ht="15" thickBot="1" x14ac:dyDescent="0.25">
      <c r="B50" s="5" t="s">
        <v>75</v>
      </c>
      <c r="C50" s="6">
        <f>[842]Tasas!$B$36</f>
        <v>0.99860335195530725</v>
      </c>
      <c r="D50" s="6">
        <f>[842]Tasas!$B$17</f>
        <v>0.9596222728752849</v>
      </c>
      <c r="E50" s="6">
        <f>[842]Tasas!$B$28</f>
        <v>1.0199077125906395</v>
      </c>
      <c r="F50" s="6">
        <f>[842]Tasas!$B$31</f>
        <v>0.91056910569105687</v>
      </c>
      <c r="G50" s="6">
        <f>[842]Tasas!$B$35</f>
        <v>0.96209386281588449</v>
      </c>
    </row>
    <row r="51" spans="2:7" ht="15" thickBot="1" x14ac:dyDescent="0.25">
      <c r="B51" s="5" t="s">
        <v>76</v>
      </c>
      <c r="C51" s="6">
        <f>[843]Tasas!$B$36</f>
        <v>0.96988389486430659</v>
      </c>
      <c r="D51" s="6">
        <f>[843]Tasas!$B$17</f>
        <v>0.90998617105979973</v>
      </c>
      <c r="E51" s="6">
        <f>[843]Tasas!$B$28</f>
        <v>0.98261811338174454</v>
      </c>
      <c r="F51" s="6">
        <f>[843]Tasas!$B$31</f>
        <v>0.98619329388560162</v>
      </c>
      <c r="G51" s="6">
        <f>[843]Tasas!$B$35</f>
        <v>0.96232996163236828</v>
      </c>
    </row>
    <row r="52" spans="2:7" ht="15" thickBot="1" x14ac:dyDescent="0.25">
      <c r="B52" s="5" t="s">
        <v>77</v>
      </c>
      <c r="C52" s="6">
        <f>[844]Tasas!$B$36</f>
        <v>0.94967970330411333</v>
      </c>
      <c r="D52" s="6">
        <f>[844]Tasas!$B$17</f>
        <v>0.93670886075949367</v>
      </c>
      <c r="E52" s="6">
        <f>[844]Tasas!$B$28</f>
        <v>0.95319054979024065</v>
      </c>
      <c r="F52" s="6">
        <f>[844]Tasas!$B$31</f>
        <v>1.2642487046632125</v>
      </c>
      <c r="G52" s="6">
        <f>[844]Tasas!$B$35</f>
        <v>0.79052369077306728</v>
      </c>
    </row>
    <row r="53" spans="2:7" ht="15" thickBot="1" x14ac:dyDescent="0.25">
      <c r="B53" s="5" t="s">
        <v>78</v>
      </c>
      <c r="C53" s="6">
        <f>[845]Tasas!$B$36</f>
        <v>0.92341231452590844</v>
      </c>
      <c r="D53" s="6">
        <f>[845]Tasas!$B$17</f>
        <v>0.90151083238312424</v>
      </c>
      <c r="E53" s="6">
        <f>[845]Tasas!$B$28</f>
        <v>0.93223170184104176</v>
      </c>
      <c r="F53" s="6">
        <f>[845]Tasas!$B$31</f>
        <v>0.72077922077922074</v>
      </c>
      <c r="G53" s="6">
        <f>[845]Tasas!$B$35</f>
        <v>0.95028524857375718</v>
      </c>
    </row>
    <row r="54" spans="2:7" ht="15" thickBot="1" x14ac:dyDescent="0.25">
      <c r="B54" s="5" t="s">
        <v>79</v>
      </c>
      <c r="C54" s="6">
        <f>[846]Tasas!$B$36</f>
        <v>0.95907763767738707</v>
      </c>
      <c r="D54" s="6">
        <f>[846]Tasas!$B$17</f>
        <v>0.93668068266139004</v>
      </c>
      <c r="E54" s="6">
        <f>[846]Tasas!$B$28</f>
        <v>0.97183011038991318</v>
      </c>
      <c r="F54" s="6">
        <f>[846]Tasas!$B$31</f>
        <v>0.65953545232273836</v>
      </c>
      <c r="G54" s="6">
        <f>[846]Tasas!$B$35</f>
        <v>0.92427562697832966</v>
      </c>
    </row>
    <row r="55" spans="2:7" ht="15" thickBot="1" x14ac:dyDescent="0.25">
      <c r="B55" s="5" t="s">
        <v>80</v>
      </c>
      <c r="C55" s="6">
        <f>[847]Tasas!$B$36</f>
        <v>1.0017279580830813</v>
      </c>
      <c r="D55" s="6">
        <f>[847]Tasas!$B$17</f>
        <v>0.96434958864909981</v>
      </c>
      <c r="E55" s="6">
        <f>[847]Tasas!$B$28</f>
        <v>1.022618642881427</v>
      </c>
      <c r="F55" s="6">
        <f>[847]Tasas!$B$31</f>
        <v>0.78144564598747868</v>
      </c>
      <c r="G55" s="6">
        <f>[847]Tasas!$B$35</f>
        <v>0.99225286643941746</v>
      </c>
    </row>
    <row r="56" spans="2:7" ht="15" thickBot="1" x14ac:dyDescent="0.25">
      <c r="B56" s="5" t="s">
        <v>81</v>
      </c>
      <c r="C56" s="6">
        <f>[848]Tasas!$B$36</f>
        <v>0.98035241378290006</v>
      </c>
      <c r="D56" s="6">
        <f>[848]Tasas!$B$17</f>
        <v>0.98301291831960125</v>
      </c>
      <c r="E56" s="6">
        <f>[848]Tasas!$B$28</f>
        <v>0.98287875771451327</v>
      </c>
      <c r="F56" s="6">
        <f>[848]Tasas!$B$31</f>
        <v>0.88706091596265002</v>
      </c>
      <c r="G56" s="6">
        <f>[848]Tasas!$B$35</f>
        <v>0.9666375109334</v>
      </c>
    </row>
    <row r="57" spans="2:7" ht="15" thickBot="1" x14ac:dyDescent="0.25">
      <c r="B57" s="5" t="s">
        <v>82</v>
      </c>
      <c r="C57" s="6">
        <f>[849]Tasas!$B$36</f>
        <v>0.94142322097378273</v>
      </c>
      <c r="D57" s="6">
        <f>[849]Tasas!$B$17</f>
        <v>0.90217998882057016</v>
      </c>
      <c r="E57" s="6">
        <f>[849]Tasas!$B$28</f>
        <v>0.9693831942789034</v>
      </c>
      <c r="F57" s="6">
        <f>[849]Tasas!$B$31</f>
        <v>0.90909090909090906</v>
      </c>
      <c r="G57" s="6">
        <f>[849]Tasas!$B$35</f>
        <v>0.77101769911504425</v>
      </c>
    </row>
    <row r="58" spans="2:7" ht="15" thickBot="1" x14ac:dyDescent="0.25">
      <c r="B58" s="5" t="s">
        <v>83</v>
      </c>
      <c r="C58" s="6">
        <f>[850]Tasas!$B$36</f>
        <v>1.0016116261307659</v>
      </c>
      <c r="D58" s="6">
        <f>[850]Tasas!$B$17</f>
        <v>0.95915969378671884</v>
      </c>
      <c r="E58" s="6">
        <f>[850]Tasas!$B$28</f>
        <v>1.0168471495558904</v>
      </c>
      <c r="F58" s="6">
        <f>[850]Tasas!$B$31</f>
        <v>0.77557755775577553</v>
      </c>
      <c r="G58" s="6">
        <f>[850]Tasas!$B$35</f>
        <v>1.0540483701366983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BDE5E-D884-48FE-B3C2-2085187666E6}">
  <dimension ref="B7:G58"/>
  <sheetViews>
    <sheetView workbookViewId="0">
      <selection activeCell="A2" sqref="A2"/>
    </sheetView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f>[851]Tasas!$B$36</f>
        <v>1.001533238418574</v>
      </c>
      <c r="D9" s="6">
        <f>[851]Tasas!$B$17</f>
        <v>0.99596495273230345</v>
      </c>
      <c r="E9" s="6">
        <f>[851]Tasas!$B$28</f>
        <v>1.0183486238532109</v>
      </c>
      <c r="F9" s="6">
        <f>[851]Tasas!$B$31</f>
        <v>0.88067349926793559</v>
      </c>
      <c r="G9" s="6">
        <f>[851]Tasas!$B$35</f>
        <v>0.91180523656407897</v>
      </c>
    </row>
    <row r="10" spans="2:7" s="8" customFormat="1" ht="20.100000000000001" customHeight="1" thickBot="1" x14ac:dyDescent="0.25">
      <c r="B10" s="5" t="s">
        <v>40</v>
      </c>
      <c r="C10" s="6">
        <f>[852]Tasas!$B$36</f>
        <v>0.97595143090058778</v>
      </c>
      <c r="D10" s="6">
        <f>[852]Tasas!$B$17</f>
        <v>0.96530239553120634</v>
      </c>
      <c r="E10" s="6">
        <f>[852]Tasas!$B$28</f>
        <v>0.97382944115255021</v>
      </c>
      <c r="F10" s="6">
        <f>[852]Tasas!$B$31</f>
        <v>1.0578512396694215</v>
      </c>
      <c r="G10" s="6">
        <f>[852]Tasas!$B$35</f>
        <v>1.0266009852216749</v>
      </c>
    </row>
    <row r="11" spans="2:7" s="8" customFormat="1" ht="20.100000000000001" customHeight="1" thickBot="1" x14ac:dyDescent="0.25">
      <c r="B11" s="5" t="s">
        <v>41</v>
      </c>
      <c r="C11" s="6">
        <f>[853]Tasas!$B$36</f>
        <v>0.98174054228662588</v>
      </c>
      <c r="D11" s="6">
        <f>[853]Tasas!$B$17</f>
        <v>0.90780516218282425</v>
      </c>
      <c r="E11" s="6">
        <f>[853]Tasas!$B$28</f>
        <v>0.99661338152976886</v>
      </c>
      <c r="F11" s="6">
        <f>[853]Tasas!$B$31</f>
        <v>0.85996119016817596</v>
      </c>
      <c r="G11" s="6">
        <f>[853]Tasas!$B$35</f>
        <v>1.0019118534916482</v>
      </c>
    </row>
    <row r="12" spans="2:7" s="8" customFormat="1" ht="20.100000000000001" customHeight="1" thickBot="1" x14ac:dyDescent="0.25">
      <c r="B12" s="5" t="s">
        <v>42</v>
      </c>
      <c r="C12" s="6">
        <f>[854]Tasas!$B$36</f>
        <v>0.9723649950968789</v>
      </c>
      <c r="D12" s="6">
        <f>[854]Tasas!$B$17</f>
        <v>0.93978976177147477</v>
      </c>
      <c r="E12" s="6">
        <f>[854]Tasas!$B$28</f>
        <v>0.98086389936589824</v>
      </c>
      <c r="F12" s="6">
        <f>[854]Tasas!$B$31</f>
        <v>0.89116094986807393</v>
      </c>
      <c r="G12" s="6">
        <f>[854]Tasas!$B$35</f>
        <v>0.91931684334511188</v>
      </c>
    </row>
    <row r="13" spans="2:7" s="8" customFormat="1" ht="20.100000000000001" customHeight="1" thickBot="1" x14ac:dyDescent="0.25">
      <c r="B13" s="5" t="s">
        <v>43</v>
      </c>
      <c r="C13" s="6">
        <f>[855]Tasas!$B$36</f>
        <v>0.98514572555447422</v>
      </c>
      <c r="D13" s="6">
        <f>[855]Tasas!$B$17</f>
        <v>0.97035468501852828</v>
      </c>
      <c r="E13" s="6">
        <f>[855]Tasas!$B$28</f>
        <v>0.98825169255276779</v>
      </c>
      <c r="F13" s="6">
        <f>[855]Tasas!$B$31</f>
        <v>1.0111524163568772</v>
      </c>
      <c r="G13" s="6">
        <f>[855]Tasas!$B$35</f>
        <v>0.99024390243902438</v>
      </c>
    </row>
    <row r="14" spans="2:7" s="8" customFormat="1" ht="20.100000000000001" customHeight="1" thickBot="1" x14ac:dyDescent="0.25">
      <c r="B14" s="5" t="s">
        <v>44</v>
      </c>
      <c r="C14" s="6">
        <f>[856]Tasas!$B$36</f>
        <v>0.98565533729497357</v>
      </c>
      <c r="D14" s="6">
        <f>[856]Tasas!$B$17</f>
        <v>0.96114209505334625</v>
      </c>
      <c r="E14" s="6">
        <f>[856]Tasas!$B$28</f>
        <v>1.0014790666787408</v>
      </c>
      <c r="F14" s="6">
        <f>[856]Tasas!$B$31</f>
        <v>0.78282208588957058</v>
      </c>
      <c r="G14" s="6">
        <f>[856]Tasas!$B$35</f>
        <v>0.86587695834925482</v>
      </c>
    </row>
    <row r="15" spans="2:7" s="8" customFormat="1" ht="20.100000000000001" customHeight="1" thickBot="1" x14ac:dyDescent="0.25">
      <c r="B15" s="5" t="s">
        <v>45</v>
      </c>
      <c r="C15" s="6">
        <f>[857]Tasas!$B$36</f>
        <v>0.97305864517347518</v>
      </c>
      <c r="D15" s="6">
        <f>[857]Tasas!$B$17</f>
        <v>0.92568277310924374</v>
      </c>
      <c r="E15" s="6">
        <f>[857]Tasas!$B$28</f>
        <v>0.98562364880902742</v>
      </c>
      <c r="F15" s="6">
        <f>[857]Tasas!$B$31</f>
        <v>0.6811594202898551</v>
      </c>
      <c r="G15" s="6">
        <f>[857]Tasas!$B$35</f>
        <v>1.0207070707070707</v>
      </c>
    </row>
    <row r="16" spans="2:7" s="8" customFormat="1" ht="20.100000000000001" customHeight="1" thickBot="1" x14ac:dyDescent="0.25">
      <c r="B16" s="5" t="s">
        <v>46</v>
      </c>
      <c r="C16" s="6">
        <f>[858]Tasas!$B$36</f>
        <v>0.9907530613984411</v>
      </c>
      <c r="D16" s="6">
        <f>[858]Tasas!$B$17</f>
        <v>0.96336484811886292</v>
      </c>
      <c r="E16" s="6">
        <f>[858]Tasas!$B$28</f>
        <v>0.99913373020456453</v>
      </c>
      <c r="F16" s="6">
        <f>[858]Tasas!$B$31</f>
        <v>0.83644811564274657</v>
      </c>
      <c r="G16" s="6">
        <f>[858]Tasas!$B$35</f>
        <v>1.0042966983265491</v>
      </c>
    </row>
    <row r="17" spans="2:7" s="8" customFormat="1" ht="20.100000000000001" customHeight="1" thickBot="1" x14ac:dyDescent="0.25">
      <c r="B17" s="5" t="s">
        <v>47</v>
      </c>
      <c r="C17" s="6">
        <f>[859]Tasas!$B$36</f>
        <v>1.0139714082936226</v>
      </c>
      <c r="D17" s="6">
        <f>[859]Tasas!$B$17</f>
        <v>0.99875562362400694</v>
      </c>
      <c r="E17" s="6">
        <f>[859]Tasas!$B$28</f>
        <v>1.0365150910024534</v>
      </c>
      <c r="F17" s="6">
        <f>[859]Tasas!$B$31</f>
        <v>0.52230685527747556</v>
      </c>
      <c r="G17" s="6">
        <f>[859]Tasas!$B$35</f>
        <v>0.95198618307426597</v>
      </c>
    </row>
    <row r="18" spans="2:7" s="8" customFormat="1" ht="20.100000000000001" customHeight="1" thickBot="1" x14ac:dyDescent="0.25">
      <c r="B18" s="5" t="s">
        <v>48</v>
      </c>
      <c r="C18" s="6">
        <f>[860]Tasas!$B$36</f>
        <v>0.99432424455695056</v>
      </c>
      <c r="D18" s="6">
        <f>[860]Tasas!$B$17</f>
        <v>1.0133164963838825</v>
      </c>
      <c r="E18" s="6">
        <f>[860]Tasas!$B$28</f>
        <v>0.99586649392312909</v>
      </c>
      <c r="F18" s="6">
        <f>[860]Tasas!$B$31</f>
        <v>0.55542452830188682</v>
      </c>
      <c r="G18" s="6">
        <f>[860]Tasas!$B$35</f>
        <v>1.0700483091787441</v>
      </c>
    </row>
    <row r="19" spans="2:7" s="8" customFormat="1" ht="20.100000000000001" customHeight="1" thickBot="1" x14ac:dyDescent="0.25">
      <c r="B19" s="5" t="s">
        <v>49</v>
      </c>
      <c r="C19" s="6">
        <f>[861]Tasas!$B$36</f>
        <v>1.0017764016454045</v>
      </c>
      <c r="D19" s="6">
        <f>[861]Tasas!$B$17</f>
        <v>0.96610851465535919</v>
      </c>
      <c r="E19" s="6">
        <f>[861]Tasas!$B$28</f>
        <v>1.0175728757494316</v>
      </c>
      <c r="F19" s="6">
        <f>[861]Tasas!$B$31</f>
        <v>0.81377066955814581</v>
      </c>
      <c r="G19" s="6">
        <f>[861]Tasas!$B$35</f>
        <v>0.88751691474966166</v>
      </c>
    </row>
    <row r="20" spans="2:7" s="8" customFormat="1" ht="20.100000000000001" customHeight="1" thickBot="1" x14ac:dyDescent="0.25">
      <c r="B20" s="5" t="s">
        <v>50</v>
      </c>
      <c r="C20" s="6">
        <f>[862]Tasas!$B$36</f>
        <v>0.97115773149715512</v>
      </c>
      <c r="D20" s="6">
        <f>[862]Tasas!$B$17</f>
        <v>0.91441837118835489</v>
      </c>
      <c r="E20" s="6">
        <f>[862]Tasas!$B$28</f>
        <v>0.98467486232408075</v>
      </c>
      <c r="F20" s="6">
        <f>[862]Tasas!$B$31</f>
        <v>0.74829931972789121</v>
      </c>
      <c r="G20" s="6">
        <f>[862]Tasas!$B$35</f>
        <v>1.0312035661218424</v>
      </c>
    </row>
    <row r="21" spans="2:7" s="8" customFormat="1" ht="20.100000000000001" customHeight="1" thickBot="1" x14ac:dyDescent="0.25">
      <c r="B21" s="5" t="s">
        <v>51</v>
      </c>
      <c r="C21" s="6">
        <f>[863]Tasas!$B$36</f>
        <v>0.99283049122698819</v>
      </c>
      <c r="D21" s="6">
        <f>[863]Tasas!$B$17</f>
        <v>0.95842666427739454</v>
      </c>
      <c r="E21" s="6">
        <f>[863]Tasas!$B$28</f>
        <v>1.005981404346882</v>
      </c>
      <c r="F21" s="6">
        <f>[863]Tasas!$B$31</f>
        <v>0.74142156862745101</v>
      </c>
      <c r="G21" s="6">
        <f>[863]Tasas!$B$35</f>
        <v>0.95818345323741005</v>
      </c>
    </row>
    <row r="22" spans="2:7" s="8" customFormat="1" ht="15" thickBot="1" x14ac:dyDescent="0.25">
      <c r="B22" s="5" t="s">
        <v>52</v>
      </c>
      <c r="C22" s="6">
        <f>[864]Tasas!$B$36</f>
        <v>0.97720555488076444</v>
      </c>
      <c r="D22" s="6">
        <f>[864]Tasas!$B$17</f>
        <v>0.93444102346321267</v>
      </c>
      <c r="E22" s="6">
        <f>[864]Tasas!$B$28</f>
        <v>0.99790790709066413</v>
      </c>
      <c r="F22" s="6">
        <f>[864]Tasas!$B$31</f>
        <v>0.90170132325141772</v>
      </c>
      <c r="G22" s="6">
        <f>[864]Tasas!$B$35</f>
        <v>0.72291252485089463</v>
      </c>
    </row>
    <row r="23" spans="2:7" s="8" customFormat="1" ht="20.100000000000001" customHeight="1" thickBot="1" x14ac:dyDescent="0.25">
      <c r="B23" s="5" t="s">
        <v>53</v>
      </c>
      <c r="C23" s="6">
        <f>[865]Tasas!$B$36</f>
        <v>0.98658045023613039</v>
      </c>
      <c r="D23" s="6">
        <f>[865]Tasas!$B$17</f>
        <v>0.94612991653063105</v>
      </c>
      <c r="E23" s="6">
        <f>[865]Tasas!$B$28</f>
        <v>1.004415077945827</v>
      </c>
      <c r="F23" s="6">
        <f>[865]Tasas!$B$31</f>
        <v>0.8884162303664922</v>
      </c>
      <c r="G23" s="6">
        <f>[865]Tasas!$B$35</f>
        <v>0.96534860975268966</v>
      </c>
    </row>
    <row r="24" spans="2:7" s="8" customFormat="1" ht="20.100000000000001" customHeight="1" thickBot="1" x14ac:dyDescent="0.25">
      <c r="B24" s="5" t="s">
        <v>54</v>
      </c>
      <c r="C24" s="6">
        <f>[866]Tasas!$B$36</f>
        <v>1.0015497201894104</v>
      </c>
      <c r="D24" s="6">
        <f>[866]Tasas!$B$17</f>
        <v>0.97068830149175611</v>
      </c>
      <c r="E24" s="6">
        <f>[866]Tasas!$B$28</f>
        <v>1.0215430861723447</v>
      </c>
      <c r="F24" s="6">
        <f>[866]Tasas!$B$31</f>
        <v>0.85327313769751689</v>
      </c>
      <c r="G24" s="6">
        <f>[866]Tasas!$B$35</f>
        <v>0.82634730538922152</v>
      </c>
    </row>
    <row r="25" spans="2:7" s="8" customFormat="1" ht="20.100000000000001" customHeight="1" thickBot="1" x14ac:dyDescent="0.25">
      <c r="B25" s="5" t="s">
        <v>55</v>
      </c>
      <c r="C25" s="6">
        <f>[867]Tasas!$B$36</f>
        <v>0.99072712568466714</v>
      </c>
      <c r="D25" s="6">
        <f>[867]Tasas!$B$17</f>
        <v>0.94181173436492582</v>
      </c>
      <c r="E25" s="6">
        <f>[867]Tasas!$B$28</f>
        <v>1.0034238228432817</v>
      </c>
      <c r="F25" s="6">
        <f>[867]Tasas!$B$31</f>
        <v>0.84872159090909094</v>
      </c>
      <c r="G25" s="6">
        <f>[867]Tasas!$B$35</f>
        <v>0.99695933105283163</v>
      </c>
    </row>
    <row r="26" spans="2:7" s="8" customFormat="1" ht="20.100000000000001" customHeight="1" thickBot="1" x14ac:dyDescent="0.25">
      <c r="B26" s="5" t="s">
        <v>56</v>
      </c>
      <c r="C26" s="6">
        <f>[868]Tasas!$B$36</f>
        <v>0.99078228860867312</v>
      </c>
      <c r="D26" s="6">
        <f>[868]Tasas!$B$17</f>
        <v>0.93498500253204009</v>
      </c>
      <c r="E26" s="6">
        <f>[868]Tasas!$B$28</f>
        <v>1.0041950029568303</v>
      </c>
      <c r="F26" s="6">
        <f>[868]Tasas!$B$31</f>
        <v>0.64340786430223595</v>
      </c>
      <c r="G26" s="6">
        <f>[868]Tasas!$B$35</f>
        <v>1.0143331321665661</v>
      </c>
    </row>
    <row r="27" spans="2:7" ht="15" thickBot="1" x14ac:dyDescent="0.25">
      <c r="B27" s="5" t="s">
        <v>57</v>
      </c>
      <c r="C27" s="6">
        <f>[869]Tasas!$B$36</f>
        <v>1.0332205937617438</v>
      </c>
      <c r="D27" s="6">
        <f>[869]Tasas!$B$17</f>
        <v>1.0155292194523906</v>
      </c>
      <c r="E27" s="6">
        <f>[869]Tasas!$B$28</f>
        <v>1.0287758983084776</v>
      </c>
      <c r="F27" s="6">
        <f>[869]Tasas!$B$31</f>
        <v>0.99796747967479671</v>
      </c>
      <c r="G27" s="6">
        <f>[869]Tasas!$B$35</f>
        <v>1.1884057971014492</v>
      </c>
    </row>
    <row r="28" spans="2:7" ht="15" thickBot="1" x14ac:dyDescent="0.25">
      <c r="B28" s="5" t="s">
        <v>58</v>
      </c>
      <c r="C28" s="6">
        <f>[870]Tasas!$B$36</f>
        <v>1.0023686659335083</v>
      </c>
      <c r="D28" s="6">
        <f>[870]Tasas!$B$17</f>
        <v>0.95556138166087701</v>
      </c>
      <c r="E28" s="6">
        <f>[870]Tasas!$B$28</f>
        <v>1.021545962097979</v>
      </c>
      <c r="F28" s="6">
        <f>[870]Tasas!$B$31</f>
        <v>0.78332034294621977</v>
      </c>
      <c r="G28" s="6">
        <f>[870]Tasas!$B$35</f>
        <v>1.0079590676520751</v>
      </c>
    </row>
    <row r="29" spans="2:7" ht="15" thickBot="1" x14ac:dyDescent="0.25">
      <c r="B29" s="5" t="s">
        <v>59</v>
      </c>
      <c r="C29" s="6">
        <f>[871]Tasas!$B$36</f>
        <v>0.99252833216327352</v>
      </c>
      <c r="D29" s="6">
        <f>[871]Tasas!$B$17</f>
        <v>0.92335794792071513</v>
      </c>
      <c r="E29" s="6">
        <f>[871]Tasas!$B$28</f>
        <v>1.0074748080046678</v>
      </c>
      <c r="F29" s="6">
        <f>[871]Tasas!$B$31</f>
        <v>0.73979183346677346</v>
      </c>
      <c r="G29" s="6">
        <f>[871]Tasas!$B$35</f>
        <v>1.1075412762159751</v>
      </c>
    </row>
    <row r="30" spans="2:7" ht="15" thickBot="1" x14ac:dyDescent="0.25">
      <c r="B30" s="5" t="s">
        <v>60</v>
      </c>
      <c r="C30" s="6">
        <f>[872]Tasas!$B$36</f>
        <v>0.93235332951894723</v>
      </c>
      <c r="D30" s="6">
        <f>[872]Tasas!$B$17</f>
        <v>0.92743854084060273</v>
      </c>
      <c r="E30" s="6">
        <f>[872]Tasas!$B$28</f>
        <v>0.94021378102542419</v>
      </c>
      <c r="F30" s="6">
        <f>[872]Tasas!$B$31</f>
        <v>0.93366093366093361</v>
      </c>
      <c r="G30" s="6">
        <f>[872]Tasas!$B$35</f>
        <v>0.78340365682137836</v>
      </c>
    </row>
    <row r="31" spans="2:7" ht="15" thickBot="1" x14ac:dyDescent="0.25">
      <c r="B31" s="5" t="s">
        <v>61</v>
      </c>
      <c r="C31" s="6">
        <f>[873]Tasas!$B$36</f>
        <v>0.98068858676780901</v>
      </c>
      <c r="D31" s="6">
        <f>[873]Tasas!$B$17</f>
        <v>0.9000623052959501</v>
      </c>
      <c r="E31" s="6">
        <f>[873]Tasas!$B$28</f>
        <v>1.0074558844975936</v>
      </c>
      <c r="F31" s="6">
        <f>[873]Tasas!$B$31</f>
        <v>0.87556221889055474</v>
      </c>
      <c r="G31" s="6">
        <f>[873]Tasas!$B$35</f>
        <v>0.96777862016679306</v>
      </c>
    </row>
    <row r="32" spans="2:7" ht="15" thickBot="1" x14ac:dyDescent="0.25">
      <c r="B32" s="5" t="s">
        <v>62</v>
      </c>
      <c r="C32" s="6">
        <f>[874]Tasas!$B$36</f>
        <v>0.98889392234513596</v>
      </c>
      <c r="D32" s="6">
        <f>[874]Tasas!$B$17</f>
        <v>0.98529507450061815</v>
      </c>
      <c r="E32" s="6">
        <f>[874]Tasas!$B$28</f>
        <v>1.0018797777684949</v>
      </c>
      <c r="F32" s="6">
        <f>[874]Tasas!$B$31</f>
        <v>0.81672932330827064</v>
      </c>
      <c r="G32" s="6">
        <f>[874]Tasas!$B$35</f>
        <v>0.89587378640776694</v>
      </c>
    </row>
    <row r="33" spans="2:7" ht="15" thickBot="1" x14ac:dyDescent="0.25">
      <c r="B33" s="5" t="s">
        <v>63</v>
      </c>
      <c r="C33" s="6">
        <f>[875]Tasas!$B$36</f>
        <v>0.99267938490918861</v>
      </c>
      <c r="D33" s="6">
        <f>[875]Tasas!$B$17</f>
        <v>0.97001445086705207</v>
      </c>
      <c r="E33" s="6">
        <f>[875]Tasas!$B$28</f>
        <v>1.0146014843497904</v>
      </c>
      <c r="F33" s="6">
        <f>[875]Tasas!$B$31</f>
        <v>0.62557603686635943</v>
      </c>
      <c r="G33" s="6">
        <f>[875]Tasas!$B$35</f>
        <v>0.77738825591586325</v>
      </c>
    </row>
    <row r="34" spans="2:7" ht="15" thickBot="1" x14ac:dyDescent="0.25">
      <c r="B34" s="5" t="s">
        <v>64</v>
      </c>
      <c r="C34" s="6">
        <f>[876]Tasas!$B$36</f>
        <v>0.96826288442634456</v>
      </c>
      <c r="D34" s="6">
        <f>[876]Tasas!$B$17</f>
        <v>0.94395480225988704</v>
      </c>
      <c r="E34" s="6">
        <f>[876]Tasas!$B$28</f>
        <v>0.97500105927714931</v>
      </c>
      <c r="F34" s="6">
        <f>[876]Tasas!$B$31</f>
        <v>0.57845868152274837</v>
      </c>
      <c r="G34" s="6">
        <f>[876]Tasas!$B$35</f>
        <v>1.1974000962927298</v>
      </c>
    </row>
    <row r="35" spans="2:7" ht="15" thickBot="1" x14ac:dyDescent="0.25">
      <c r="B35" s="5" t="s">
        <v>65</v>
      </c>
      <c r="C35" s="6">
        <f>[877]Tasas!$B$36</f>
        <v>1.0149313318428617</v>
      </c>
      <c r="D35" s="6">
        <f>[877]Tasas!$B$17</f>
        <v>0.98266009852216751</v>
      </c>
      <c r="E35" s="6">
        <f>[877]Tasas!$B$28</f>
        <v>1.0078202173197235</v>
      </c>
      <c r="F35" s="6">
        <f>[877]Tasas!$B$31</f>
        <v>0.95331325301204817</v>
      </c>
      <c r="G35" s="6">
        <f>[877]Tasas!$B$35</f>
        <v>1.2347684809098294</v>
      </c>
    </row>
    <row r="36" spans="2:7" ht="15" thickBot="1" x14ac:dyDescent="0.25">
      <c r="B36" s="5" t="s">
        <v>32</v>
      </c>
      <c r="C36" s="6">
        <f>[878]Tasas!$B$36</f>
        <v>0.97729716717564497</v>
      </c>
      <c r="D36" s="6">
        <f>[878]Tasas!$B$17</f>
        <v>0.94898804789739766</v>
      </c>
      <c r="E36" s="6">
        <f>[878]Tasas!$B$28</f>
        <v>0.98786834599437134</v>
      </c>
      <c r="F36" s="6">
        <f>[878]Tasas!$B$31</f>
        <v>0.9156742300781413</v>
      </c>
      <c r="G36" s="6">
        <f>[878]Tasas!$B$35</f>
        <v>0.89731398748531299</v>
      </c>
    </row>
    <row r="37" spans="2:7" ht="15" thickBot="1" x14ac:dyDescent="0.25">
      <c r="B37" s="5" t="s">
        <v>66</v>
      </c>
      <c r="C37" s="6">
        <f>[879]Tasas!$B$36</f>
        <v>0.97866031061238701</v>
      </c>
      <c r="D37" s="6">
        <f>[879]Tasas!$B$17</f>
        <v>0.91593507857553358</v>
      </c>
      <c r="E37" s="6">
        <f>[879]Tasas!$B$28</f>
        <v>0.99760106957190797</v>
      </c>
      <c r="F37" s="6">
        <f>[879]Tasas!$B$31</f>
        <v>0.78889773179466771</v>
      </c>
      <c r="G37" s="6">
        <f>[879]Tasas!$B$35</f>
        <v>0.80329089419998512</v>
      </c>
    </row>
    <row r="38" spans="2:7" ht="15" thickBot="1" x14ac:dyDescent="0.25">
      <c r="B38" s="5" t="s">
        <v>33</v>
      </c>
      <c r="C38" s="6">
        <f>[880]Tasas!$B$36</f>
        <v>0.98980776673977555</v>
      </c>
      <c r="D38" s="6">
        <f>[880]Tasas!$B$17</f>
        <v>0.92696393991730774</v>
      </c>
      <c r="E38" s="6">
        <f>[880]Tasas!$B$28</f>
        <v>1.0113111009593421</v>
      </c>
      <c r="F38" s="6">
        <f>[880]Tasas!$B$31</f>
        <v>0.93640426263320731</v>
      </c>
      <c r="G38" s="6">
        <f>[880]Tasas!$B$35</f>
        <v>0.89706382496315606</v>
      </c>
    </row>
    <row r="39" spans="2:7" ht="15" thickBot="1" x14ac:dyDescent="0.25">
      <c r="B39" s="5" t="s">
        <v>34</v>
      </c>
      <c r="C39" s="6">
        <f>[881]Tasas!$B$36</f>
        <v>0.98825836996956373</v>
      </c>
      <c r="D39" s="6">
        <f>[881]Tasas!$B$17</f>
        <v>0.95215199689802243</v>
      </c>
      <c r="E39" s="6">
        <f>[881]Tasas!$B$28</f>
        <v>0.99942009629916007</v>
      </c>
      <c r="F39" s="6">
        <f>[881]Tasas!$B$31</f>
        <v>0.89850560398505608</v>
      </c>
      <c r="G39" s="6">
        <f>[881]Tasas!$B$35</f>
        <v>0.97815726767275613</v>
      </c>
    </row>
    <row r="40" spans="2:7" ht="15" thickBot="1" x14ac:dyDescent="0.25">
      <c r="B40" s="5" t="s">
        <v>67</v>
      </c>
      <c r="C40" s="6">
        <f>[882]Tasas!$B$36</f>
        <v>0.98849323204078099</v>
      </c>
      <c r="D40" s="6">
        <f>[882]Tasas!$B$17</f>
        <v>0.95846830171217035</v>
      </c>
      <c r="E40" s="6">
        <f>[882]Tasas!$B$28</f>
        <v>0.99732858414959924</v>
      </c>
      <c r="F40" s="6">
        <f>[882]Tasas!$B$31</f>
        <v>0.91196698762035766</v>
      </c>
      <c r="G40" s="6">
        <f>[882]Tasas!$B$35</f>
        <v>1.0111298482293423</v>
      </c>
    </row>
    <row r="41" spans="2:7" ht="15" thickBot="1" x14ac:dyDescent="0.25">
      <c r="B41" s="5" t="s">
        <v>31</v>
      </c>
      <c r="C41" s="6">
        <f>[883]Tasas!$B$36</f>
        <v>0.99347004557074581</v>
      </c>
      <c r="D41" s="6">
        <f>[883]Tasas!$B$17</f>
        <v>0.96035740237371159</v>
      </c>
      <c r="E41" s="6">
        <f>[883]Tasas!$B$28</f>
        <v>1.0150522497157399</v>
      </c>
      <c r="F41" s="6">
        <f>[883]Tasas!$B$31</f>
        <v>0.92607944732297065</v>
      </c>
      <c r="G41" s="6">
        <f>[883]Tasas!$B$35</f>
        <v>0.94435309389874511</v>
      </c>
    </row>
    <row r="42" spans="2:7" ht="15" thickBot="1" x14ac:dyDescent="0.25">
      <c r="B42" s="5" t="s">
        <v>68</v>
      </c>
      <c r="C42" s="6">
        <f>[884]Tasas!$B$36</f>
        <v>0.97652397783304967</v>
      </c>
      <c r="D42" s="6">
        <f>[884]Tasas!$B$17</f>
        <v>0.91358483553242886</v>
      </c>
      <c r="E42" s="6">
        <f>[884]Tasas!$B$28</f>
        <v>0.99851070431275213</v>
      </c>
      <c r="F42" s="6">
        <f>[884]Tasas!$B$31</f>
        <v>0.63662790697674421</v>
      </c>
      <c r="G42" s="6">
        <f>[884]Tasas!$B$35</f>
        <v>1.0705663881151346</v>
      </c>
    </row>
    <row r="43" spans="2:7" ht="15" thickBot="1" x14ac:dyDescent="0.25">
      <c r="B43" s="5" t="s">
        <v>69</v>
      </c>
      <c r="C43" s="6">
        <f>[885]Tasas!$B$36</f>
        <v>0.96702336203063743</v>
      </c>
      <c r="D43" s="6">
        <f>[885]Tasas!$B$17</f>
        <v>0.87497587338351668</v>
      </c>
      <c r="E43" s="6">
        <f>[885]Tasas!$B$28</f>
        <v>1.0039583876261648</v>
      </c>
      <c r="F43" s="6">
        <f>[885]Tasas!$B$31</f>
        <v>0.85044313146233386</v>
      </c>
      <c r="G43" s="6">
        <f>[885]Tasas!$B$35</f>
        <v>0.87265790589232728</v>
      </c>
    </row>
    <row r="44" spans="2:7" ht="15" thickBot="1" x14ac:dyDescent="0.25">
      <c r="B44" s="5" t="s">
        <v>70</v>
      </c>
      <c r="C44" s="6">
        <f>[886]Tasas!$B$36</f>
        <v>0.99628565111651557</v>
      </c>
      <c r="D44" s="6">
        <f>[886]Tasas!$B$17</f>
        <v>0.96115982400050648</v>
      </c>
      <c r="E44" s="6">
        <f>[886]Tasas!$B$28</f>
        <v>1.0094508149307564</v>
      </c>
      <c r="F44" s="6">
        <f>[886]Tasas!$B$31</f>
        <v>0.9002570694087404</v>
      </c>
      <c r="G44" s="6">
        <f>[886]Tasas!$B$35</f>
        <v>0.96145847774850968</v>
      </c>
    </row>
    <row r="45" spans="2:7" ht="15" thickBot="1" x14ac:dyDescent="0.25">
      <c r="B45" s="5" t="s">
        <v>71</v>
      </c>
      <c r="C45" s="6">
        <f>[887]Tasas!$B$36</f>
        <v>0.9750058234334964</v>
      </c>
      <c r="D45" s="6">
        <f>[887]Tasas!$B$17</f>
        <v>1.0235123690661911</v>
      </c>
      <c r="E45" s="6">
        <f>[887]Tasas!$B$28</f>
        <v>0.99195510429169231</v>
      </c>
      <c r="F45" s="6">
        <f>[887]Tasas!$B$31</f>
        <v>0.5882852292020373</v>
      </c>
      <c r="G45" s="6">
        <f>[887]Tasas!$B$35</f>
        <v>0.71758072783188109</v>
      </c>
    </row>
    <row r="46" spans="2:7" ht="15" thickBot="1" x14ac:dyDescent="0.25">
      <c r="B46" s="5" t="s">
        <v>72</v>
      </c>
      <c r="C46" s="6">
        <f>[888]Tasas!$B$36</f>
        <v>0.96377391649764366</v>
      </c>
      <c r="D46" s="6">
        <f>[888]Tasas!$B$17</f>
        <v>0.90521281376388263</v>
      </c>
      <c r="E46" s="6">
        <f>[888]Tasas!$B$28</f>
        <v>0.98443085606773284</v>
      </c>
      <c r="F46" s="6">
        <f>[888]Tasas!$B$31</f>
        <v>0.81127197518097205</v>
      </c>
      <c r="G46" s="6">
        <f>[888]Tasas!$B$35</f>
        <v>0.87007087043430853</v>
      </c>
    </row>
    <row r="47" spans="2:7" ht="15" thickBot="1" x14ac:dyDescent="0.25">
      <c r="B47" s="5" t="s">
        <v>5</v>
      </c>
      <c r="C47" s="6">
        <f>[889]Tasas!$B$36</f>
        <v>0.9788700752021946</v>
      </c>
      <c r="D47" s="6">
        <f>[889]Tasas!$B$17</f>
        <v>0.93921518338035392</v>
      </c>
      <c r="E47" s="6">
        <f>[889]Tasas!$B$28</f>
        <v>0.99789477229857182</v>
      </c>
      <c r="F47" s="6">
        <f>[889]Tasas!$B$31</f>
        <v>0.84509569377990434</v>
      </c>
      <c r="G47" s="6">
        <f>[889]Tasas!$B$35</f>
        <v>0.94589228096301814</v>
      </c>
    </row>
    <row r="48" spans="2:7" ht="15" thickBot="1" x14ac:dyDescent="0.25">
      <c r="B48" s="5" t="s">
        <v>73</v>
      </c>
      <c r="C48" s="6">
        <f>[890]Tasas!$B$36</f>
        <v>0.97840659059509794</v>
      </c>
      <c r="D48" s="6">
        <f>[890]Tasas!$B$17</f>
        <v>0.96552567237163811</v>
      </c>
      <c r="E48" s="6">
        <f>[890]Tasas!$B$28</f>
        <v>0.98847401476982544</v>
      </c>
      <c r="F48" s="6">
        <f>[890]Tasas!$B$31</f>
        <v>0.90878378378378377</v>
      </c>
      <c r="G48" s="6">
        <f>[890]Tasas!$B$35</f>
        <v>0.86976047904191611</v>
      </c>
    </row>
    <row r="49" spans="2:7" ht="15" thickBot="1" x14ac:dyDescent="0.25">
      <c r="B49" s="5" t="s">
        <v>74</v>
      </c>
      <c r="C49" s="6">
        <f>[891]Tasas!$B$36</f>
        <v>0.99277893538349293</v>
      </c>
      <c r="D49" s="6">
        <f>[891]Tasas!$B$17</f>
        <v>0.9300234400258649</v>
      </c>
      <c r="E49" s="6">
        <f>[891]Tasas!$B$28</f>
        <v>1.006446824660538</v>
      </c>
      <c r="F49" s="6">
        <f>[891]Tasas!$B$31</f>
        <v>0.85783600194080545</v>
      </c>
      <c r="G49" s="6">
        <f>[891]Tasas!$B$35</f>
        <v>0.98135627945093218</v>
      </c>
    </row>
    <row r="50" spans="2:7" ht="15" thickBot="1" x14ac:dyDescent="0.25">
      <c r="B50" s="5" t="s">
        <v>75</v>
      </c>
      <c r="C50" s="6">
        <f>[892]Tasas!$B$36</f>
        <v>1.0014096419509444</v>
      </c>
      <c r="D50" s="6">
        <f>[892]Tasas!$B$17</f>
        <v>0.97146785837057403</v>
      </c>
      <c r="E50" s="6">
        <f>[892]Tasas!$B$28</f>
        <v>1.026006464883926</v>
      </c>
      <c r="F50" s="6">
        <f>[892]Tasas!$B$31</f>
        <v>1.2555555555555555</v>
      </c>
      <c r="G50" s="6">
        <f>[892]Tasas!$B$35</f>
        <v>0.77439024390243905</v>
      </c>
    </row>
    <row r="51" spans="2:7" ht="15" thickBot="1" x14ac:dyDescent="0.25">
      <c r="B51" s="5" t="s">
        <v>76</v>
      </c>
      <c r="C51" s="6">
        <f>[893]Tasas!$B$36</f>
        <v>0.98410440648141362</v>
      </c>
      <c r="D51" s="6">
        <f>[893]Tasas!$B$17</f>
        <v>0.96276792313377679</v>
      </c>
      <c r="E51" s="6">
        <f>[893]Tasas!$B$28</f>
        <v>0.98851599654128841</v>
      </c>
      <c r="F51" s="6">
        <f>[893]Tasas!$B$31</f>
        <v>0.97600872410032713</v>
      </c>
      <c r="G51" s="6">
        <f>[893]Tasas!$B$35</f>
        <v>0.97679400214209211</v>
      </c>
    </row>
    <row r="52" spans="2:7" ht="15" thickBot="1" x14ac:dyDescent="0.25">
      <c r="B52" s="5" t="s">
        <v>77</v>
      </c>
      <c r="C52" s="6">
        <f>[894]Tasas!$B$36</f>
        <v>0.9725992317541613</v>
      </c>
      <c r="D52" s="6">
        <f>[894]Tasas!$B$17</f>
        <v>0.98100972672533582</v>
      </c>
      <c r="E52" s="6">
        <f>[894]Tasas!$B$28</f>
        <v>0.98438719750195158</v>
      </c>
      <c r="F52" s="6">
        <f>[894]Tasas!$B$31</f>
        <v>0.77586206896551724</v>
      </c>
      <c r="G52" s="6">
        <f>[894]Tasas!$B$35</f>
        <v>0.75350140056022408</v>
      </c>
    </row>
    <row r="53" spans="2:7" ht="15" thickBot="1" x14ac:dyDescent="0.25">
      <c r="B53" s="5" t="s">
        <v>78</v>
      </c>
      <c r="C53" s="6">
        <f>[895]Tasas!$B$36</f>
        <v>0.95848190753775075</v>
      </c>
      <c r="D53" s="6">
        <f>[895]Tasas!$B$17</f>
        <v>0.91211492663440119</v>
      </c>
      <c r="E53" s="6">
        <f>[895]Tasas!$B$28</f>
        <v>0.97118647596444108</v>
      </c>
      <c r="F53" s="6">
        <f>[895]Tasas!$B$31</f>
        <v>0.80019029495718363</v>
      </c>
      <c r="G53" s="6">
        <f>[895]Tasas!$B$35</f>
        <v>1.0249895876718034</v>
      </c>
    </row>
    <row r="54" spans="2:7" ht="15" thickBot="1" x14ac:dyDescent="0.25">
      <c r="B54" s="5" t="s">
        <v>79</v>
      </c>
      <c r="C54" s="6">
        <f>[896]Tasas!$B$36</f>
        <v>0.97958906087498776</v>
      </c>
      <c r="D54" s="6">
        <f>[896]Tasas!$B$17</f>
        <v>0.94019401940194014</v>
      </c>
      <c r="E54" s="6">
        <f>[896]Tasas!$B$28</f>
        <v>0.99323384780952484</v>
      </c>
      <c r="F54" s="6">
        <f>[896]Tasas!$B$31</f>
        <v>0.83302721656370016</v>
      </c>
      <c r="G54" s="6">
        <f>[896]Tasas!$B$35</f>
        <v>0.91334383711065326</v>
      </c>
    </row>
    <row r="55" spans="2:7" ht="15" thickBot="1" x14ac:dyDescent="0.25">
      <c r="B55" s="5" t="s">
        <v>80</v>
      </c>
      <c r="C55" s="6">
        <f>[897]Tasas!$B$36</f>
        <v>0.97573122984799632</v>
      </c>
      <c r="D55" s="6">
        <f>[897]Tasas!$B$17</f>
        <v>0.98466378293354306</v>
      </c>
      <c r="E55" s="6">
        <f>[897]Tasas!$B$28</f>
        <v>0.99077517309391239</v>
      </c>
      <c r="F55" s="6">
        <f>[897]Tasas!$B$31</f>
        <v>0.90514905149051494</v>
      </c>
      <c r="G55" s="6">
        <f>[897]Tasas!$B$35</f>
        <v>0.79747406405051868</v>
      </c>
    </row>
    <row r="56" spans="2:7" ht="15" thickBot="1" x14ac:dyDescent="0.25">
      <c r="B56" s="5" t="s">
        <v>81</v>
      </c>
      <c r="C56" s="6">
        <f>[898]Tasas!$B$36</f>
        <v>0.99515835613298764</v>
      </c>
      <c r="D56" s="6">
        <f>[898]Tasas!$B$17</f>
        <v>0.95734627418427942</v>
      </c>
      <c r="E56" s="6">
        <f>[898]Tasas!$B$28</f>
        <v>1.0126782077393075</v>
      </c>
      <c r="F56" s="6">
        <f>[898]Tasas!$B$31</f>
        <v>0.79409479409479411</v>
      </c>
      <c r="G56" s="6">
        <f>[898]Tasas!$B$35</f>
        <v>0.99269200106298161</v>
      </c>
    </row>
    <row r="57" spans="2:7" ht="15" thickBot="1" x14ac:dyDescent="0.25">
      <c r="B57" s="5" t="s">
        <v>82</v>
      </c>
      <c r="C57" s="6">
        <f>[899]Tasas!$B$36</f>
        <v>1.0056322852385151</v>
      </c>
      <c r="D57" s="6">
        <f>[899]Tasas!$B$17</f>
        <v>0.9871123640757149</v>
      </c>
      <c r="E57" s="6">
        <f>[899]Tasas!$B$28</f>
        <v>1.0513575160032373</v>
      </c>
      <c r="F57" s="6">
        <f>[899]Tasas!$B$31</f>
        <v>1.0169779286926994</v>
      </c>
      <c r="G57" s="6">
        <f>[899]Tasas!$B$35</f>
        <v>0.58411949685534592</v>
      </c>
    </row>
    <row r="58" spans="2:7" ht="15" thickBot="1" x14ac:dyDescent="0.25">
      <c r="B58" s="5" t="s">
        <v>83</v>
      </c>
      <c r="C58" s="6">
        <f>[900]Tasas!$B$36</f>
        <v>0.99416955687052155</v>
      </c>
      <c r="D58" s="6">
        <f>[900]Tasas!$B$17</f>
        <v>0.95332551008820077</v>
      </c>
      <c r="E58" s="6">
        <f>[900]Tasas!$B$28</f>
        <v>1.0080854129259087</v>
      </c>
      <c r="F58" s="6">
        <f>[900]Tasas!$B$31</f>
        <v>0.91488326848249024</v>
      </c>
      <c r="G58" s="6">
        <f>[900]Tasas!$B$35</f>
        <v>0.98391210515989802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4EE3-7206-49DF-9F0E-996FFAE19759}">
  <dimension ref="B7:G58"/>
  <sheetViews>
    <sheetView workbookViewId="0">
      <selection activeCell="A2" sqref="A2"/>
    </sheetView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f>[901]Tasas!$B$36</f>
        <v>1.0087358394859944</v>
      </c>
      <c r="D9" s="6">
        <f>[901]Tasas!$B$17</f>
        <v>0.98468875502008035</v>
      </c>
      <c r="E9" s="6">
        <f>[901]Tasas!$B$28</f>
        <v>1.0236047127889436</v>
      </c>
      <c r="F9" s="6">
        <f>[901]Tasas!$B$31</f>
        <v>0.69756097560975605</v>
      </c>
      <c r="G9" s="6">
        <f>[901]Tasas!$B$35</f>
        <v>1.0829938900203666</v>
      </c>
    </row>
    <row r="10" spans="2:7" s="8" customFormat="1" ht="20.100000000000001" customHeight="1" thickBot="1" x14ac:dyDescent="0.25">
      <c r="B10" s="5" t="s">
        <v>40</v>
      </c>
      <c r="C10" s="6">
        <f>[902]Tasas!$B$36</f>
        <v>0.99473107500058289</v>
      </c>
      <c r="D10" s="6">
        <f>[902]Tasas!$B$17</f>
        <v>0.97625841798881408</v>
      </c>
      <c r="E10" s="6">
        <f>[902]Tasas!$B$28</f>
        <v>1.0033784870813089</v>
      </c>
      <c r="F10" s="6">
        <f>[902]Tasas!$B$31</f>
        <v>0.89504373177842567</v>
      </c>
      <c r="G10" s="6">
        <f>[902]Tasas!$B$35</f>
        <v>0.9925889328063241</v>
      </c>
    </row>
    <row r="11" spans="2:7" s="8" customFormat="1" ht="20.100000000000001" customHeight="1" thickBot="1" x14ac:dyDescent="0.25">
      <c r="B11" s="5" t="s">
        <v>41</v>
      </c>
      <c r="C11" s="6">
        <f>[903]Tasas!$B$36</f>
        <v>1.0036080869140429</v>
      </c>
      <c r="D11" s="6">
        <f>[903]Tasas!$B$17</f>
        <v>0.9321605977256866</v>
      </c>
      <c r="E11" s="6">
        <f>[903]Tasas!$B$28</f>
        <v>1.0196422441740722</v>
      </c>
      <c r="F11" s="6">
        <f>[903]Tasas!$B$31</f>
        <v>0.98209052425919896</v>
      </c>
      <c r="G11" s="6">
        <f>[903]Tasas!$B$35</f>
        <v>0.89420245710224389</v>
      </c>
    </row>
    <row r="12" spans="2:7" s="8" customFormat="1" ht="20.100000000000001" customHeight="1" thickBot="1" x14ac:dyDescent="0.25">
      <c r="B12" s="5" t="s">
        <v>42</v>
      </c>
      <c r="C12" s="6">
        <f>[904]Tasas!$B$36</f>
        <v>1.0229803012746235</v>
      </c>
      <c r="D12" s="6">
        <f>[904]Tasas!$B$17</f>
        <v>0.9570746148153132</v>
      </c>
      <c r="E12" s="6">
        <f>[904]Tasas!$B$28</f>
        <v>1.0410618706341286</v>
      </c>
      <c r="F12" s="6">
        <f>[904]Tasas!$B$31</f>
        <v>0.78029766123316802</v>
      </c>
      <c r="G12" s="6">
        <f>[904]Tasas!$B$35</f>
        <v>0.94322505121451561</v>
      </c>
    </row>
    <row r="13" spans="2:7" s="8" customFormat="1" ht="20.100000000000001" customHeight="1" thickBot="1" x14ac:dyDescent="0.25">
      <c r="B13" s="5" t="s">
        <v>43</v>
      </c>
      <c r="C13" s="6">
        <f>[905]Tasas!$B$36</f>
        <v>1.0039129236704327</v>
      </c>
      <c r="D13" s="6">
        <f>[905]Tasas!$B$17</f>
        <v>0.99364991717283269</v>
      </c>
      <c r="E13" s="6">
        <f>[905]Tasas!$B$28</f>
        <v>1.0101031814273431</v>
      </c>
      <c r="F13" s="6">
        <f>[905]Tasas!$B$31</f>
        <v>0.82156133828996281</v>
      </c>
      <c r="G13" s="6">
        <f>[905]Tasas!$B$35</f>
        <v>1.0033557046979866</v>
      </c>
    </row>
    <row r="14" spans="2:7" s="8" customFormat="1" ht="20.100000000000001" customHeight="1" thickBot="1" x14ac:dyDescent="0.25">
      <c r="B14" s="5" t="s">
        <v>44</v>
      </c>
      <c r="C14" s="6">
        <f>[906]Tasas!$B$36</f>
        <v>1.0052573984204016</v>
      </c>
      <c r="D14" s="6">
        <f>[906]Tasas!$B$17</f>
        <v>0.992929090787806</v>
      </c>
      <c r="E14" s="6">
        <f>[906]Tasas!$B$28</f>
        <v>1.0247512552752365</v>
      </c>
      <c r="F14" s="6">
        <f>[906]Tasas!$B$31</f>
        <v>0.7858921161825726</v>
      </c>
      <c r="G14" s="6">
        <f>[906]Tasas!$B$35</f>
        <v>0.72847457627118639</v>
      </c>
    </row>
    <row r="15" spans="2:7" s="8" customFormat="1" ht="20.100000000000001" customHeight="1" thickBot="1" x14ac:dyDescent="0.25">
      <c r="B15" s="5" t="s">
        <v>45</v>
      </c>
      <c r="C15" s="6">
        <f>[907]Tasas!$B$36</f>
        <v>1.0025079691245817</v>
      </c>
      <c r="D15" s="6">
        <f>[907]Tasas!$B$17</f>
        <v>0.9057915057915058</v>
      </c>
      <c r="E15" s="6">
        <f>[907]Tasas!$B$28</f>
        <v>1.0246117084826762</v>
      </c>
      <c r="F15" s="6">
        <f>[907]Tasas!$B$31</f>
        <v>0.99842643587726199</v>
      </c>
      <c r="G15" s="6">
        <f>[907]Tasas!$B$35</f>
        <v>0.98617072007629947</v>
      </c>
    </row>
    <row r="16" spans="2:7" s="8" customFormat="1" ht="20.100000000000001" customHeight="1" thickBot="1" x14ac:dyDescent="0.25">
      <c r="B16" s="5" t="s">
        <v>46</v>
      </c>
      <c r="C16" s="6">
        <f>[908]Tasas!$B$36</f>
        <v>1.0088376625143132</v>
      </c>
      <c r="D16" s="6">
        <f>[908]Tasas!$B$17</f>
        <v>0.96010264721772021</v>
      </c>
      <c r="E16" s="6">
        <f>[908]Tasas!$B$28</f>
        <v>1.0221912610326334</v>
      </c>
      <c r="F16" s="6">
        <f>[908]Tasas!$B$31</f>
        <v>0.79656969170646985</v>
      </c>
      <c r="G16" s="6">
        <f>[908]Tasas!$B$35</f>
        <v>1.0352351304443648</v>
      </c>
    </row>
    <row r="17" spans="2:7" s="8" customFormat="1" ht="20.100000000000001" customHeight="1" thickBot="1" x14ac:dyDescent="0.25">
      <c r="B17" s="5" t="s">
        <v>47</v>
      </c>
      <c r="C17" s="6">
        <f>[909]Tasas!$B$36</f>
        <v>1.0275924105181684</v>
      </c>
      <c r="D17" s="6">
        <f>[909]Tasas!$B$17</f>
        <v>1.0007805639574592</v>
      </c>
      <c r="E17" s="6">
        <f>[909]Tasas!$B$28</f>
        <v>1.026684612458671</v>
      </c>
      <c r="F17" s="6">
        <f>[909]Tasas!$B$31</f>
        <v>0.64313725490196083</v>
      </c>
      <c r="G17" s="6">
        <f>[909]Tasas!$B$35</f>
        <v>1.2572741194486983</v>
      </c>
    </row>
    <row r="18" spans="2:7" s="8" customFormat="1" ht="20.100000000000001" customHeight="1" thickBot="1" x14ac:dyDescent="0.25">
      <c r="B18" s="5" t="s">
        <v>48</v>
      </c>
      <c r="C18" s="6">
        <f>[910]Tasas!$B$36</f>
        <v>0.98528147037865199</v>
      </c>
      <c r="D18" s="6">
        <f>[910]Tasas!$B$17</f>
        <v>0.96841605319401569</v>
      </c>
      <c r="E18" s="6">
        <f>[910]Tasas!$B$28</f>
        <v>1.0034754165388939</v>
      </c>
      <c r="F18" s="6">
        <f>[910]Tasas!$B$31</f>
        <v>0.85639686684073102</v>
      </c>
      <c r="G18" s="6">
        <f>[910]Tasas!$B$35</f>
        <v>0.84953703703703709</v>
      </c>
    </row>
    <row r="19" spans="2:7" s="8" customFormat="1" ht="20.100000000000001" customHeight="1" thickBot="1" x14ac:dyDescent="0.25">
      <c r="B19" s="5" t="s">
        <v>49</v>
      </c>
      <c r="C19" s="6">
        <f>[911]Tasas!$B$36</f>
        <v>1.0305703351068796</v>
      </c>
      <c r="D19" s="6">
        <f>[911]Tasas!$B$17</f>
        <v>0.98464738510301109</v>
      </c>
      <c r="E19" s="6">
        <f>[911]Tasas!$B$28</f>
        <v>1.053225407649363</v>
      </c>
      <c r="F19" s="6">
        <f>[911]Tasas!$B$31</f>
        <v>0.76472502440611778</v>
      </c>
      <c r="G19" s="6">
        <f>[911]Tasas!$B$35</f>
        <v>0.81043718679799548</v>
      </c>
    </row>
    <row r="20" spans="2:7" s="8" customFormat="1" ht="20.100000000000001" customHeight="1" thickBot="1" x14ac:dyDescent="0.25">
      <c r="B20" s="5" t="s">
        <v>50</v>
      </c>
      <c r="C20" s="6">
        <f>[912]Tasas!$B$36</f>
        <v>0.96588089330024818</v>
      </c>
      <c r="D20" s="6">
        <f>[912]Tasas!$B$17</f>
        <v>0.9373151554497583</v>
      </c>
      <c r="E20" s="6">
        <f>[912]Tasas!$B$28</f>
        <v>0.96923822389286973</v>
      </c>
      <c r="F20" s="6">
        <f>[912]Tasas!$B$31</f>
        <v>0.83995186522262333</v>
      </c>
      <c r="G20" s="6">
        <f>[912]Tasas!$B$35</f>
        <v>1.068991660348749</v>
      </c>
    </row>
    <row r="21" spans="2:7" s="8" customFormat="1" ht="20.100000000000001" customHeight="1" thickBot="1" x14ac:dyDescent="0.25">
      <c r="B21" s="5" t="s">
        <v>51</v>
      </c>
      <c r="C21" s="6">
        <f>[913]Tasas!$B$36</f>
        <v>0.98319395303956258</v>
      </c>
      <c r="D21" s="6">
        <f>[913]Tasas!$B$17</f>
        <v>0.92181800256334423</v>
      </c>
      <c r="E21" s="6">
        <f>[913]Tasas!$B$28</f>
        <v>1.0038761279737489</v>
      </c>
      <c r="F21" s="6">
        <f>[913]Tasas!$B$31</f>
        <v>0.77138849929873776</v>
      </c>
      <c r="G21" s="6">
        <f>[913]Tasas!$B$35</f>
        <v>0.89157566302652103</v>
      </c>
    </row>
    <row r="22" spans="2:7" s="8" customFormat="1" ht="15" thickBot="1" x14ac:dyDescent="0.25">
      <c r="B22" s="5" t="s">
        <v>52</v>
      </c>
      <c r="C22" s="6">
        <f>[914]Tasas!$B$36</f>
        <v>0.99461229479566893</v>
      </c>
      <c r="D22" s="6">
        <f>[914]Tasas!$B$17</f>
        <v>0.98565454756650017</v>
      </c>
      <c r="E22" s="6">
        <f>[914]Tasas!$B$28</f>
        <v>1.0133066389398935</v>
      </c>
      <c r="F22" s="6">
        <f>[914]Tasas!$B$31</f>
        <v>0.8056464811783961</v>
      </c>
      <c r="G22" s="6">
        <f>[914]Tasas!$B$35</f>
        <v>0.75336927223719674</v>
      </c>
    </row>
    <row r="23" spans="2:7" s="8" customFormat="1" ht="20.100000000000001" customHeight="1" thickBot="1" x14ac:dyDescent="0.25">
      <c r="B23" s="5" t="s">
        <v>53</v>
      </c>
      <c r="C23" s="6">
        <f>[915]Tasas!$B$36</f>
        <v>1.0139168418384841</v>
      </c>
      <c r="D23" s="6">
        <f>[915]Tasas!$B$17</f>
        <v>1.031535298627082</v>
      </c>
      <c r="E23" s="6">
        <f>[915]Tasas!$B$28</f>
        <v>1.0206497449087153</v>
      </c>
      <c r="F23" s="6">
        <f>[915]Tasas!$B$31</f>
        <v>0.86606856776674146</v>
      </c>
      <c r="G23" s="6">
        <f>[915]Tasas!$B$35</f>
        <v>0.92245881880273206</v>
      </c>
    </row>
    <row r="24" spans="2:7" s="8" customFormat="1" ht="20.100000000000001" customHeight="1" thickBot="1" x14ac:dyDescent="0.25">
      <c r="B24" s="5" t="s">
        <v>54</v>
      </c>
      <c r="C24" s="6">
        <f>[916]Tasas!$B$36</f>
        <v>1.0346259762538936</v>
      </c>
      <c r="D24" s="6">
        <f>[916]Tasas!$B$17</f>
        <v>0.91547653745263768</v>
      </c>
      <c r="E24" s="6">
        <f>[916]Tasas!$B$28</f>
        <v>1.0713630631663418</v>
      </c>
      <c r="F24" s="6">
        <f>[916]Tasas!$B$31</f>
        <v>0.952755905511811</v>
      </c>
      <c r="G24" s="6">
        <f>[916]Tasas!$B$35</f>
        <v>0.80963045912653975</v>
      </c>
    </row>
    <row r="25" spans="2:7" s="8" customFormat="1" ht="20.100000000000001" customHeight="1" thickBot="1" x14ac:dyDescent="0.25">
      <c r="B25" s="5" t="s">
        <v>55</v>
      </c>
      <c r="C25" s="6">
        <f>[917]Tasas!$B$36</f>
        <v>0.99284994300679208</v>
      </c>
      <c r="D25" s="6">
        <f>[917]Tasas!$B$17</f>
        <v>0.92024117140396211</v>
      </c>
      <c r="E25" s="6">
        <f>[917]Tasas!$B$28</f>
        <v>1.0112305319787633</v>
      </c>
      <c r="F25" s="6">
        <f>[917]Tasas!$B$31</f>
        <v>0.8321943811693242</v>
      </c>
      <c r="G25" s="6">
        <f>[917]Tasas!$B$35</f>
        <v>0.95836701697655613</v>
      </c>
    </row>
    <row r="26" spans="2:7" s="8" customFormat="1" ht="20.100000000000001" customHeight="1" thickBot="1" x14ac:dyDescent="0.25">
      <c r="B26" s="5" t="s">
        <v>56</v>
      </c>
      <c r="C26" s="6">
        <f>[918]Tasas!$B$36</f>
        <v>1.0195527994615645</v>
      </c>
      <c r="D26" s="6">
        <f>[918]Tasas!$B$17</f>
        <v>0.96056137190888968</v>
      </c>
      <c r="E26" s="6">
        <f>[918]Tasas!$B$28</f>
        <v>1.0191554107396614</v>
      </c>
      <c r="F26" s="6">
        <f>[918]Tasas!$B$31</f>
        <v>0.91821155943293353</v>
      </c>
      <c r="G26" s="6">
        <f>[918]Tasas!$B$35</f>
        <v>1.3207641196013289</v>
      </c>
    </row>
    <row r="27" spans="2:7" ht="15" thickBot="1" x14ac:dyDescent="0.25">
      <c r="B27" s="5" t="s">
        <v>57</v>
      </c>
      <c r="C27" s="6">
        <f>[919]Tasas!$B$36</f>
        <v>0.96863520768578693</v>
      </c>
      <c r="D27" s="6">
        <f>[919]Tasas!$B$17</f>
        <v>0.89254658385093166</v>
      </c>
      <c r="E27" s="6">
        <f>[919]Tasas!$B$28</f>
        <v>0.97436180184153942</v>
      </c>
      <c r="F27" s="6">
        <f>[919]Tasas!$B$31</f>
        <v>0.88936170212765953</v>
      </c>
      <c r="G27" s="6">
        <f>[919]Tasas!$B$35</f>
        <v>1.1938622754491017</v>
      </c>
    </row>
    <row r="28" spans="2:7" ht="15" thickBot="1" x14ac:dyDescent="0.25">
      <c r="B28" s="5" t="s">
        <v>58</v>
      </c>
      <c r="C28" s="6">
        <f>[920]Tasas!$B$36</f>
        <v>1.0180065686134514</v>
      </c>
      <c r="D28" s="6">
        <f>[920]Tasas!$B$17</f>
        <v>0.99829787234042555</v>
      </c>
      <c r="E28" s="6">
        <f>[920]Tasas!$B$28</f>
        <v>1.0195062838379298</v>
      </c>
      <c r="F28" s="6">
        <f>[920]Tasas!$B$31</f>
        <v>0.66280193236714979</v>
      </c>
      <c r="G28" s="6">
        <f>[920]Tasas!$B$35</f>
        <v>1.1704180064308682</v>
      </c>
    </row>
    <row r="29" spans="2:7" ht="15" thickBot="1" x14ac:dyDescent="0.25">
      <c r="B29" s="5" t="s">
        <v>59</v>
      </c>
      <c r="C29" s="6">
        <f>[921]Tasas!$B$36</f>
        <v>0.9902997899560817</v>
      </c>
      <c r="D29" s="6">
        <f>[921]Tasas!$B$17</f>
        <v>0.95742052380168008</v>
      </c>
      <c r="E29" s="6">
        <f>[921]Tasas!$B$28</f>
        <v>1.0078003120124805</v>
      </c>
      <c r="F29" s="6">
        <f>[921]Tasas!$B$31</f>
        <v>0.9174664107485605</v>
      </c>
      <c r="G29" s="6">
        <f>[921]Tasas!$B$35</f>
        <v>0.79837194740137762</v>
      </c>
    </row>
    <row r="30" spans="2:7" ht="15" thickBot="1" x14ac:dyDescent="0.25">
      <c r="B30" s="5" t="s">
        <v>60</v>
      </c>
      <c r="C30" s="6">
        <f>[922]Tasas!$B$36</f>
        <v>0.98476155505576723</v>
      </c>
      <c r="D30" s="6">
        <f>[922]Tasas!$B$17</f>
        <v>1.0242978154257691</v>
      </c>
      <c r="E30" s="6">
        <f>[922]Tasas!$B$28</f>
        <v>0.98267250416229879</v>
      </c>
      <c r="F30" s="6">
        <f>[922]Tasas!$B$31</f>
        <v>0.85449735449735453</v>
      </c>
      <c r="G30" s="6">
        <f>[922]Tasas!$B$35</f>
        <v>0.85127478753541075</v>
      </c>
    </row>
    <row r="31" spans="2:7" ht="15" thickBot="1" x14ac:dyDescent="0.25">
      <c r="B31" s="5" t="s">
        <v>61</v>
      </c>
      <c r="C31" s="6">
        <f>[923]Tasas!$B$36</f>
        <v>0.99585760157911563</v>
      </c>
      <c r="D31" s="6">
        <f>[923]Tasas!$B$17</f>
        <v>0.97408400357462022</v>
      </c>
      <c r="E31" s="6">
        <f>[923]Tasas!$B$28</f>
        <v>1.0025205025957415</v>
      </c>
      <c r="F31" s="6">
        <f>[923]Tasas!$B$31</f>
        <v>0.83713080168776366</v>
      </c>
      <c r="G31" s="6">
        <f>[923]Tasas!$B$35</f>
        <v>1.0453499835688465</v>
      </c>
    </row>
    <row r="32" spans="2:7" ht="15" thickBot="1" x14ac:dyDescent="0.25">
      <c r="B32" s="5" t="s">
        <v>62</v>
      </c>
      <c r="C32" s="6">
        <f>[924]Tasas!$B$36</f>
        <v>1.000652103032279</v>
      </c>
      <c r="D32" s="6">
        <f>[924]Tasas!$B$17</f>
        <v>0.96826693905345596</v>
      </c>
      <c r="E32" s="6">
        <f>[924]Tasas!$B$28</f>
        <v>1.0306347208486919</v>
      </c>
      <c r="F32" s="6">
        <f>[924]Tasas!$B$31</f>
        <v>0.85820895522388063</v>
      </c>
      <c r="G32" s="6">
        <f>[924]Tasas!$B$35</f>
        <v>0.83178005591798698</v>
      </c>
    </row>
    <row r="33" spans="2:7" ht="15" thickBot="1" x14ac:dyDescent="0.25">
      <c r="B33" s="5" t="s">
        <v>63</v>
      </c>
      <c r="C33" s="6">
        <f>[925]Tasas!$B$36</f>
        <v>1.0011406055578598</v>
      </c>
      <c r="D33" s="6">
        <f>[925]Tasas!$B$17</f>
        <v>0.92144460314221588</v>
      </c>
      <c r="E33" s="6">
        <f>[925]Tasas!$B$28</f>
        <v>1.0326589438190026</v>
      </c>
      <c r="F33" s="6">
        <f>[925]Tasas!$B$31</f>
        <v>0.83537653239929943</v>
      </c>
      <c r="G33" s="6">
        <f>[925]Tasas!$B$35</f>
        <v>0.73718546132339235</v>
      </c>
    </row>
    <row r="34" spans="2:7" ht="15" thickBot="1" x14ac:dyDescent="0.25">
      <c r="B34" s="5" t="s">
        <v>64</v>
      </c>
      <c r="C34" s="6">
        <f>[926]Tasas!$B$36</f>
        <v>0.95135087148225961</v>
      </c>
      <c r="D34" s="6">
        <f>[926]Tasas!$B$17</f>
        <v>0.92338267543859653</v>
      </c>
      <c r="E34" s="6">
        <f>[926]Tasas!$B$28</f>
        <v>0.98623322039713512</v>
      </c>
      <c r="F34" s="6">
        <f>[926]Tasas!$B$31</f>
        <v>0.66903409090909094</v>
      </c>
      <c r="G34" s="6">
        <f>[926]Tasas!$B$35</f>
        <v>0.78554119547657508</v>
      </c>
    </row>
    <row r="35" spans="2:7" ht="15" thickBot="1" x14ac:dyDescent="0.25">
      <c r="B35" s="5" t="s">
        <v>65</v>
      </c>
      <c r="C35" s="6">
        <f>[927]Tasas!$B$36</f>
        <v>1.031115649183147</v>
      </c>
      <c r="D35" s="6">
        <f>[927]Tasas!$B$17</f>
        <v>1.0210591514400744</v>
      </c>
      <c r="E35" s="6">
        <f>[927]Tasas!$B$28</f>
        <v>1.0838527879771156</v>
      </c>
      <c r="F35" s="6">
        <f>[927]Tasas!$B$31</f>
        <v>0.77557755775577553</v>
      </c>
      <c r="G35" s="6">
        <f>[927]Tasas!$B$35</f>
        <v>0.75035704084547272</v>
      </c>
    </row>
    <row r="36" spans="2:7" ht="15" thickBot="1" x14ac:dyDescent="0.25">
      <c r="B36" s="5" t="s">
        <v>32</v>
      </c>
      <c r="C36" s="6">
        <f>[928]Tasas!$B$36</f>
        <v>0.99456298450785974</v>
      </c>
      <c r="D36" s="6">
        <f>[928]Tasas!$B$17</f>
        <v>0.96994658959394475</v>
      </c>
      <c r="E36" s="6">
        <f>[928]Tasas!$B$28</f>
        <v>1.0128792608976327</v>
      </c>
      <c r="F36" s="6">
        <f>[928]Tasas!$B$31</f>
        <v>0.70499419279907083</v>
      </c>
      <c r="G36" s="6">
        <f>[928]Tasas!$B$35</f>
        <v>0.85987149239496008</v>
      </c>
    </row>
    <row r="37" spans="2:7" ht="15" thickBot="1" x14ac:dyDescent="0.25">
      <c r="B37" s="5" t="s">
        <v>66</v>
      </c>
      <c r="C37" s="6">
        <f>[929]Tasas!$B$36</f>
        <v>0.99605583573309098</v>
      </c>
      <c r="D37" s="6">
        <f>[929]Tasas!$B$17</f>
        <v>0.96747512437810945</v>
      </c>
      <c r="E37" s="6">
        <f>[929]Tasas!$B$28</f>
        <v>1.0102892728479334</v>
      </c>
      <c r="F37" s="6">
        <f>[929]Tasas!$B$31</f>
        <v>0.60208838336751813</v>
      </c>
      <c r="G37" s="6">
        <f>[929]Tasas!$B$35</f>
        <v>0.90067572476930902</v>
      </c>
    </row>
    <row r="38" spans="2:7" ht="15" thickBot="1" x14ac:dyDescent="0.25">
      <c r="B38" s="5" t="s">
        <v>33</v>
      </c>
      <c r="C38" s="6">
        <f>[930]Tasas!$B$36</f>
        <v>0.97305695590540831</v>
      </c>
      <c r="D38" s="6">
        <f>[930]Tasas!$B$17</f>
        <v>0.92574525745257452</v>
      </c>
      <c r="E38" s="6">
        <f>[930]Tasas!$B$28</f>
        <v>0.99068696602727346</v>
      </c>
      <c r="F38" s="6">
        <f>[930]Tasas!$B$31</f>
        <v>0.71565686862627476</v>
      </c>
      <c r="G38" s="6">
        <f>[930]Tasas!$B$35</f>
        <v>1.0375165125495376</v>
      </c>
    </row>
    <row r="39" spans="2:7" ht="15" thickBot="1" x14ac:dyDescent="0.25">
      <c r="B39" s="5" t="s">
        <v>34</v>
      </c>
      <c r="C39" s="6">
        <f>[931]Tasas!$B$36</f>
        <v>1.0096674634633422</v>
      </c>
      <c r="D39" s="6">
        <f>[931]Tasas!$B$17</f>
        <v>0.95849469607678062</v>
      </c>
      <c r="E39" s="6">
        <f>[931]Tasas!$B$28</f>
        <v>1.0304410974712004</v>
      </c>
      <c r="F39" s="6">
        <f>[931]Tasas!$B$31</f>
        <v>0.67204301075268813</v>
      </c>
      <c r="G39" s="6">
        <f>[931]Tasas!$B$35</f>
        <v>1.0364225010117361</v>
      </c>
    </row>
    <row r="40" spans="2:7" ht="15" thickBot="1" x14ac:dyDescent="0.25">
      <c r="B40" s="5" t="s">
        <v>67</v>
      </c>
      <c r="C40" s="6">
        <f>[932]Tasas!$B$36</f>
        <v>0.9965899618580919</v>
      </c>
      <c r="D40" s="6">
        <f>[932]Tasas!$B$17</f>
        <v>0.9540746287283165</v>
      </c>
      <c r="E40" s="6">
        <f>[932]Tasas!$B$28</f>
        <v>1.0067140459269313</v>
      </c>
      <c r="F40" s="6">
        <f>[932]Tasas!$B$31</f>
        <v>0.95783132530120485</v>
      </c>
      <c r="G40" s="6">
        <f>[932]Tasas!$B$35</f>
        <v>1.0250772930264513</v>
      </c>
    </row>
    <row r="41" spans="2:7" ht="15" thickBot="1" x14ac:dyDescent="0.25">
      <c r="B41" s="5" t="s">
        <v>31</v>
      </c>
      <c r="C41" s="6">
        <f>[933]Tasas!$B$36</f>
        <v>1.0095794855244145</v>
      </c>
      <c r="D41" s="6">
        <f>[933]Tasas!$B$17</f>
        <v>0.98406603374251678</v>
      </c>
      <c r="E41" s="6">
        <f>[933]Tasas!$B$28</f>
        <v>1.0346323770352877</v>
      </c>
      <c r="F41" s="6">
        <f>[933]Tasas!$B$31</f>
        <v>0.86540084388185656</v>
      </c>
      <c r="G41" s="6">
        <f>[933]Tasas!$B$35</f>
        <v>0.92629964481756544</v>
      </c>
    </row>
    <row r="42" spans="2:7" ht="15" thickBot="1" x14ac:dyDescent="0.25">
      <c r="B42" s="5" t="s">
        <v>68</v>
      </c>
      <c r="C42" s="6">
        <f>[934]Tasas!$B$36</f>
        <v>1.0147773577495214</v>
      </c>
      <c r="D42" s="6">
        <f>[934]Tasas!$B$17</f>
        <v>0.97692624639472603</v>
      </c>
      <c r="E42" s="6">
        <f>[934]Tasas!$B$28</f>
        <v>1.0099009900990099</v>
      </c>
      <c r="F42" s="6">
        <f>[934]Tasas!$B$31</f>
        <v>0.93573264781491006</v>
      </c>
      <c r="G42" s="6">
        <f>[934]Tasas!$B$35</f>
        <v>1.2335143522110164</v>
      </c>
    </row>
    <row r="43" spans="2:7" ht="15" thickBot="1" x14ac:dyDescent="0.25">
      <c r="B43" s="5" t="s">
        <v>69</v>
      </c>
      <c r="C43" s="6">
        <f>[935]Tasas!$B$36</f>
        <v>1.0195528238018885</v>
      </c>
      <c r="D43" s="6">
        <f>[935]Tasas!$B$17</f>
        <v>0.98385103634218951</v>
      </c>
      <c r="E43" s="6">
        <f>[935]Tasas!$B$28</f>
        <v>1.0516512213722817</v>
      </c>
      <c r="F43" s="6">
        <f>[935]Tasas!$B$31</f>
        <v>0.60116851168511687</v>
      </c>
      <c r="G43" s="6">
        <f>[935]Tasas!$B$35</f>
        <v>0.87930561900411142</v>
      </c>
    </row>
    <row r="44" spans="2:7" ht="15" thickBot="1" x14ac:dyDescent="0.25">
      <c r="B44" s="5" t="s">
        <v>70</v>
      </c>
      <c r="C44" s="6">
        <f>[936]Tasas!$B$36</f>
        <v>1.0063547743419632</v>
      </c>
      <c r="D44" s="6">
        <f>[936]Tasas!$B$17</f>
        <v>1.0069479444164446</v>
      </c>
      <c r="E44" s="6">
        <f>[936]Tasas!$B$28</f>
        <v>1.0138971956406166</v>
      </c>
      <c r="F44" s="6">
        <f>[936]Tasas!$B$31</f>
        <v>1.0503318584070795</v>
      </c>
      <c r="G44" s="6">
        <f>[936]Tasas!$B$35</f>
        <v>0.8705357142857143</v>
      </c>
    </row>
    <row r="45" spans="2:7" ht="15" thickBot="1" x14ac:dyDescent="0.25">
      <c r="B45" s="5" t="s">
        <v>71</v>
      </c>
      <c r="C45" s="6">
        <f>[937]Tasas!$B$36</f>
        <v>0.97627626837800163</v>
      </c>
      <c r="D45" s="6">
        <f>[937]Tasas!$B$17</f>
        <v>1.0009996667777408</v>
      </c>
      <c r="E45" s="6">
        <f>[937]Tasas!$B$28</f>
        <v>0.98826901031715708</v>
      </c>
      <c r="F45" s="6">
        <f>[937]Tasas!$B$31</f>
        <v>0.92640692640692646</v>
      </c>
      <c r="G45" s="6">
        <f>[937]Tasas!$B$35</f>
        <v>0.7214137214137214</v>
      </c>
    </row>
    <row r="46" spans="2:7" ht="15" thickBot="1" x14ac:dyDescent="0.25">
      <c r="B46" s="5" t="s">
        <v>72</v>
      </c>
      <c r="C46" s="6">
        <f>[938]Tasas!$B$36</f>
        <v>0.99878051784878419</v>
      </c>
      <c r="D46" s="6">
        <f>[938]Tasas!$B$17</f>
        <v>0.95531431456702853</v>
      </c>
      <c r="E46" s="6">
        <f>[938]Tasas!$B$28</f>
        <v>1.0218131651556956</v>
      </c>
      <c r="F46" s="6">
        <f>[938]Tasas!$B$31</f>
        <v>0.68</v>
      </c>
      <c r="G46" s="6">
        <f>[938]Tasas!$B$35</f>
        <v>0.8208570903071547</v>
      </c>
    </row>
    <row r="47" spans="2:7" ht="15" thickBot="1" x14ac:dyDescent="0.25">
      <c r="B47" s="5" t="s">
        <v>5</v>
      </c>
      <c r="C47" s="6">
        <f>[939]Tasas!$B$36</f>
        <v>0.98050406524065492</v>
      </c>
      <c r="D47" s="6">
        <f>[939]Tasas!$B$17</f>
        <v>0.97798844938433038</v>
      </c>
      <c r="E47" s="6">
        <f>[939]Tasas!$B$28</f>
        <v>0.98882321145228502</v>
      </c>
      <c r="F47" s="6">
        <f>[939]Tasas!$B$31</f>
        <v>0.83798882681564246</v>
      </c>
      <c r="G47" s="6">
        <f>[939]Tasas!$B$35</f>
        <v>0.92599711677078322</v>
      </c>
    </row>
    <row r="48" spans="2:7" ht="15" thickBot="1" x14ac:dyDescent="0.25">
      <c r="B48" s="5" t="s">
        <v>73</v>
      </c>
      <c r="C48" s="6">
        <f>[940]Tasas!$B$36</f>
        <v>0.98369975056557801</v>
      </c>
      <c r="D48" s="6">
        <f>[940]Tasas!$B$17</f>
        <v>1.0315024232633279</v>
      </c>
      <c r="E48" s="6">
        <f>[940]Tasas!$B$28</f>
        <v>0.97483675744545306</v>
      </c>
      <c r="F48" s="6">
        <f>[940]Tasas!$B$31</f>
        <v>1.0112359550561798</v>
      </c>
      <c r="G48" s="6">
        <f>[940]Tasas!$B$35</f>
        <v>0.87857142857142856</v>
      </c>
    </row>
    <row r="49" spans="2:7" ht="15" thickBot="1" x14ac:dyDescent="0.25">
      <c r="B49" s="5" t="s">
        <v>74</v>
      </c>
      <c r="C49" s="6">
        <f>[941]Tasas!$B$36</f>
        <v>1.0095516158484583</v>
      </c>
      <c r="D49" s="6">
        <f>[941]Tasas!$B$17</f>
        <v>0.97742002927033245</v>
      </c>
      <c r="E49" s="6">
        <f>[941]Tasas!$B$28</f>
        <v>1.0149809151749019</v>
      </c>
      <c r="F49" s="6">
        <f>[941]Tasas!$B$31</f>
        <v>0.8602964364553769</v>
      </c>
      <c r="G49" s="6">
        <f>[941]Tasas!$B$35</f>
        <v>1.0766214177978883</v>
      </c>
    </row>
    <row r="50" spans="2:7" ht="15" thickBot="1" x14ac:dyDescent="0.25">
      <c r="B50" s="5" t="s">
        <v>75</v>
      </c>
      <c r="C50" s="6">
        <f>[942]Tasas!$B$36</f>
        <v>1.0166808029403449</v>
      </c>
      <c r="D50" s="6">
        <f>[942]Tasas!$B$17</f>
        <v>1.0794442465265408</v>
      </c>
      <c r="E50" s="6">
        <f>[942]Tasas!$B$28</f>
        <v>1.0228466013906627</v>
      </c>
      <c r="F50" s="6">
        <f>[942]Tasas!$B$31</f>
        <v>0.7351778656126482</v>
      </c>
      <c r="G50" s="6">
        <f>[942]Tasas!$B$35</f>
        <v>0.72222222222222221</v>
      </c>
    </row>
    <row r="51" spans="2:7" ht="15" thickBot="1" x14ac:dyDescent="0.25">
      <c r="B51" s="5" t="s">
        <v>76</v>
      </c>
      <c r="C51" s="6">
        <f>[943]Tasas!$B$36</f>
        <v>1.012228321840456</v>
      </c>
      <c r="D51" s="6">
        <f>[943]Tasas!$B$17</f>
        <v>0.97350522789564509</v>
      </c>
      <c r="E51" s="6">
        <f>[943]Tasas!$B$28</f>
        <v>1.0229693198105847</v>
      </c>
      <c r="F51" s="6">
        <f>[943]Tasas!$B$31</f>
        <v>0.8044692737430168</v>
      </c>
      <c r="G51" s="6">
        <f>[943]Tasas!$B$35</f>
        <v>0.93043478260869561</v>
      </c>
    </row>
    <row r="52" spans="2:7" ht="15" thickBot="1" x14ac:dyDescent="0.25">
      <c r="B52" s="5" t="s">
        <v>77</v>
      </c>
      <c r="C52" s="6">
        <f>[944]Tasas!$B$36</f>
        <v>1.0191489361702128</v>
      </c>
      <c r="D52" s="6">
        <f>[944]Tasas!$B$17</f>
        <v>0.91654097536450474</v>
      </c>
      <c r="E52" s="6">
        <f>[944]Tasas!$B$28</f>
        <v>1.0372025606957362</v>
      </c>
      <c r="F52" s="6">
        <f>[944]Tasas!$B$31</f>
        <v>0.91414141414141414</v>
      </c>
      <c r="G52" s="6">
        <f>[944]Tasas!$B$35</f>
        <v>1.2383720930232558</v>
      </c>
    </row>
    <row r="53" spans="2:7" ht="15" thickBot="1" x14ac:dyDescent="0.25">
      <c r="B53" s="5" t="s">
        <v>78</v>
      </c>
      <c r="C53" s="6">
        <f>[945]Tasas!$B$36</f>
        <v>0.99577835479483512</v>
      </c>
      <c r="D53" s="6">
        <f>[945]Tasas!$B$17</f>
        <v>0.91325793009609657</v>
      </c>
      <c r="E53" s="6">
        <f>[945]Tasas!$B$28</f>
        <v>1.0181568618007562</v>
      </c>
      <c r="F53" s="6">
        <f>[945]Tasas!$B$31</f>
        <v>0.92685370741482964</v>
      </c>
      <c r="G53" s="6">
        <f>[945]Tasas!$B$35</f>
        <v>1.04293688278231</v>
      </c>
    </row>
    <row r="54" spans="2:7" ht="15" thickBot="1" x14ac:dyDescent="0.25">
      <c r="B54" s="5" t="s">
        <v>79</v>
      </c>
      <c r="C54" s="6">
        <f>[946]Tasas!$B$36</f>
        <v>0.98992535102140256</v>
      </c>
      <c r="D54" s="6">
        <f>[946]Tasas!$B$17</f>
        <v>0.95960202898145686</v>
      </c>
      <c r="E54" s="6">
        <f>[946]Tasas!$B$28</f>
        <v>1.0032043204320431</v>
      </c>
      <c r="F54" s="6">
        <f>[946]Tasas!$B$31</f>
        <v>0.8073012168694782</v>
      </c>
      <c r="G54" s="6">
        <f>[946]Tasas!$B$35</f>
        <v>0.89977596981488028</v>
      </c>
    </row>
    <row r="55" spans="2:7" ht="15" thickBot="1" x14ac:dyDescent="0.25">
      <c r="B55" s="5" t="s">
        <v>80</v>
      </c>
      <c r="C55" s="6">
        <f>[947]Tasas!$B$36</f>
        <v>0.99645674143455754</v>
      </c>
      <c r="D55" s="6">
        <f>[947]Tasas!$B$17</f>
        <v>0.98260563380281685</v>
      </c>
      <c r="E55" s="6">
        <f>[947]Tasas!$B$28</f>
        <v>1.0016304114643668</v>
      </c>
      <c r="F55" s="6">
        <f>[947]Tasas!$B$31</f>
        <v>0.95519125683060113</v>
      </c>
      <c r="G55" s="6">
        <f>[947]Tasas!$B$35</f>
        <v>0.99434495758718189</v>
      </c>
    </row>
    <row r="56" spans="2:7" ht="15" thickBot="1" x14ac:dyDescent="0.25">
      <c r="B56" s="5" t="s">
        <v>81</v>
      </c>
      <c r="C56" s="6">
        <f>[948]Tasas!$B$36</f>
        <v>1.0119581244470657</v>
      </c>
      <c r="D56" s="6">
        <f>[948]Tasas!$B$17</f>
        <v>0.99939654254375065</v>
      </c>
      <c r="E56" s="6">
        <f>[948]Tasas!$B$28</f>
        <v>1.0195237849284644</v>
      </c>
      <c r="F56" s="6">
        <f>[948]Tasas!$B$31</f>
        <v>0.83990719257540603</v>
      </c>
      <c r="G56" s="6">
        <f>[948]Tasas!$B$35</f>
        <v>1.011047126571865</v>
      </c>
    </row>
    <row r="57" spans="2:7" ht="15" thickBot="1" x14ac:dyDescent="0.25">
      <c r="B57" s="5" t="s">
        <v>82</v>
      </c>
      <c r="C57" s="6">
        <f>[949]Tasas!$B$36</f>
        <v>0.98256735340729007</v>
      </c>
      <c r="D57" s="6">
        <f>[949]Tasas!$B$17</f>
        <v>1.0259423503325942</v>
      </c>
      <c r="E57" s="6">
        <f>[949]Tasas!$B$28</f>
        <v>0.99483622350674372</v>
      </c>
      <c r="F57" s="6">
        <f>[949]Tasas!$B$31</f>
        <v>0.88535031847133761</v>
      </c>
      <c r="G57" s="6">
        <f>[949]Tasas!$B$35</f>
        <v>0.69584438549955796</v>
      </c>
    </row>
    <row r="58" spans="2:7" ht="15" thickBot="1" x14ac:dyDescent="0.25">
      <c r="B58" s="5" t="s">
        <v>83</v>
      </c>
      <c r="C58" s="6">
        <f>[950]Tasas!$B$36</f>
        <v>1.0037372131543245</v>
      </c>
      <c r="D58" s="6">
        <f>[950]Tasas!$B$17</f>
        <v>0.96056647539982909</v>
      </c>
      <c r="E58" s="6">
        <f>[950]Tasas!$B$28</f>
        <v>1.0219990435198469</v>
      </c>
      <c r="F58" s="6">
        <f>[950]Tasas!$B$31</f>
        <v>0.93259972489683629</v>
      </c>
      <c r="G58" s="6">
        <f>[950]Tasas!$B$35</f>
        <v>0.93407580384408118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E0B35-3EEF-49E3-91F7-BEA390B20DA1}">
  <dimension ref="B7:G58"/>
  <sheetViews>
    <sheetView workbookViewId="0">
      <selection activeCell="A2" sqref="A2"/>
    </sheetView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f>[951]Tasas!$B$36</f>
        <v>1.0325427314737488</v>
      </c>
      <c r="D9" s="6">
        <f>[951]Tasas!$B$17</f>
        <v>1.0299585395211983</v>
      </c>
      <c r="E9" s="6">
        <f>[951]Tasas!$B$28</f>
        <v>1.0406903103229892</v>
      </c>
      <c r="F9" s="6">
        <f>[951]Tasas!$B$31</f>
        <v>1.0660736975857688</v>
      </c>
      <c r="G9" s="6">
        <f>[951]Tasas!$B$35</f>
        <v>0.94360902255639101</v>
      </c>
    </row>
    <row r="10" spans="2:7" s="8" customFormat="1" ht="20.100000000000001" customHeight="1" thickBot="1" x14ac:dyDescent="0.25">
      <c r="B10" s="5" t="s">
        <v>40</v>
      </c>
      <c r="C10" s="6">
        <f>[952]Tasas!$B$36</f>
        <v>0.99284212515650472</v>
      </c>
      <c r="D10" s="6">
        <f>[952]Tasas!$B$17</f>
        <v>0.9173186967184398</v>
      </c>
      <c r="E10" s="6">
        <f>[952]Tasas!$B$28</f>
        <v>1.0082208628669449</v>
      </c>
      <c r="F10" s="6">
        <f>[952]Tasas!$B$31</f>
        <v>0.95949367088607596</v>
      </c>
      <c r="G10" s="6">
        <f>[952]Tasas!$B$35</f>
        <v>1.0879384911100431</v>
      </c>
    </row>
    <row r="11" spans="2:7" s="8" customFormat="1" ht="20.100000000000001" customHeight="1" thickBot="1" x14ac:dyDescent="0.25">
      <c r="B11" s="5" t="s">
        <v>41</v>
      </c>
      <c r="C11" s="6">
        <f>[953]Tasas!$B$36</f>
        <v>0.9718564972355348</v>
      </c>
      <c r="D11" s="6">
        <f>[953]Tasas!$B$17</f>
        <v>0.87206113733423241</v>
      </c>
      <c r="E11" s="6">
        <f>[953]Tasas!$B$28</f>
        <v>0.9887399158782475</v>
      </c>
      <c r="F11" s="6">
        <f>[953]Tasas!$B$31</f>
        <v>0.99222395023328147</v>
      </c>
      <c r="G11" s="6">
        <f>[953]Tasas!$B$35</f>
        <v>0.92913758428960136</v>
      </c>
    </row>
    <row r="12" spans="2:7" s="8" customFormat="1" ht="20.100000000000001" customHeight="1" thickBot="1" x14ac:dyDescent="0.25">
      <c r="B12" s="5" t="s">
        <v>42</v>
      </c>
      <c r="C12" s="6">
        <f>[954]Tasas!$B$36</f>
        <v>1.0398710339552493</v>
      </c>
      <c r="D12" s="6">
        <f>[954]Tasas!$B$17</f>
        <v>0.93769174579985393</v>
      </c>
      <c r="E12" s="6">
        <f>[954]Tasas!$B$28</f>
        <v>1.0686708449889641</v>
      </c>
      <c r="F12" s="6">
        <f>[954]Tasas!$B$31</f>
        <v>1.0594405594405594</v>
      </c>
      <c r="G12" s="6">
        <f>[954]Tasas!$B$35</f>
        <v>0.7761714855433699</v>
      </c>
    </row>
    <row r="13" spans="2:7" s="8" customFormat="1" ht="20.100000000000001" customHeight="1" thickBot="1" x14ac:dyDescent="0.25">
      <c r="B13" s="5" t="s">
        <v>43</v>
      </c>
      <c r="C13" s="6">
        <f>[955]Tasas!$B$36</f>
        <v>1.0242984056009885</v>
      </c>
      <c r="D13" s="6">
        <f>[955]Tasas!$B$17</f>
        <v>1.0093205051112448</v>
      </c>
      <c r="E13" s="6">
        <f>[955]Tasas!$B$28</f>
        <v>1.029175281415116</v>
      </c>
      <c r="F13" s="6">
        <f>[955]Tasas!$B$31</f>
        <v>0.99579831932773111</v>
      </c>
      <c r="G13" s="6">
        <f>[955]Tasas!$B$35</f>
        <v>1.0053475935828877</v>
      </c>
    </row>
    <row r="14" spans="2:7" s="8" customFormat="1" ht="20.100000000000001" customHeight="1" thickBot="1" x14ac:dyDescent="0.25">
      <c r="B14" s="5" t="s">
        <v>44</v>
      </c>
      <c r="C14" s="6">
        <f>[956]Tasas!$B$36</f>
        <v>1.0039647301607153</v>
      </c>
      <c r="D14" s="6">
        <f>[956]Tasas!$B$17</f>
        <v>0.98473710004900927</v>
      </c>
      <c r="E14" s="6">
        <f>[956]Tasas!$B$28</f>
        <v>1.0142305836951278</v>
      </c>
      <c r="F14" s="6">
        <f>[956]Tasas!$B$31</f>
        <v>1.0679287305122493</v>
      </c>
      <c r="G14" s="6">
        <f>[956]Tasas!$B$35</f>
        <v>0.84094427244582048</v>
      </c>
    </row>
    <row r="15" spans="2:7" s="8" customFormat="1" ht="20.100000000000001" customHeight="1" thickBot="1" x14ac:dyDescent="0.25">
      <c r="B15" s="5" t="s">
        <v>45</v>
      </c>
      <c r="C15" s="6">
        <f>[957]Tasas!$B$36</f>
        <v>0.99682764740984042</v>
      </c>
      <c r="D15" s="6">
        <f>[957]Tasas!$B$17</f>
        <v>0.91187472262727443</v>
      </c>
      <c r="E15" s="6">
        <f>[957]Tasas!$B$28</f>
        <v>1.0108831255132811</v>
      </c>
      <c r="F15" s="6">
        <f>[957]Tasas!$B$31</f>
        <v>1.1290322580645162</v>
      </c>
      <c r="G15" s="6">
        <f>[957]Tasas!$B$35</f>
        <v>1.0752456266474959</v>
      </c>
    </row>
    <row r="16" spans="2:7" s="8" customFormat="1" ht="20.100000000000001" customHeight="1" thickBot="1" x14ac:dyDescent="0.25">
      <c r="B16" s="5" t="s">
        <v>46</v>
      </c>
      <c r="C16" s="6">
        <f>[958]Tasas!$B$36</f>
        <v>0.9918622177617904</v>
      </c>
      <c r="D16" s="6">
        <f>[958]Tasas!$B$17</f>
        <v>0.93660460781551402</v>
      </c>
      <c r="E16" s="6">
        <f>[958]Tasas!$B$28</f>
        <v>1.0041495059840502</v>
      </c>
      <c r="F16" s="6">
        <f>[958]Tasas!$B$31</f>
        <v>1.1254598969830758</v>
      </c>
      <c r="G16" s="6">
        <f>[958]Tasas!$B$35</f>
        <v>0.97638402068262609</v>
      </c>
    </row>
    <row r="17" spans="2:7" s="8" customFormat="1" ht="20.100000000000001" customHeight="1" thickBot="1" x14ac:dyDescent="0.25">
      <c r="B17" s="5" t="s">
        <v>47</v>
      </c>
      <c r="C17" s="6">
        <f>[959]Tasas!$B$36</f>
        <v>1.0073270627945747</v>
      </c>
      <c r="D17" s="6">
        <f>[959]Tasas!$B$17</f>
        <v>0.95446446248267669</v>
      </c>
      <c r="E17" s="6">
        <f>[959]Tasas!$B$28</f>
        <v>1.0016269444840873</v>
      </c>
      <c r="F17" s="6">
        <f>[959]Tasas!$B$31</f>
        <v>1.8185567010309278</v>
      </c>
      <c r="G17" s="6">
        <f>[959]Tasas!$B$35</f>
        <v>1.1220910623946037</v>
      </c>
    </row>
    <row r="18" spans="2:7" s="8" customFormat="1" ht="20.100000000000001" customHeight="1" thickBot="1" x14ac:dyDescent="0.25">
      <c r="B18" s="5" t="s">
        <v>48</v>
      </c>
      <c r="C18" s="6">
        <f>[960]Tasas!$B$36</f>
        <v>1.018104576777731</v>
      </c>
      <c r="D18" s="6">
        <f>[960]Tasas!$B$17</f>
        <v>0.97400141810446705</v>
      </c>
      <c r="E18" s="6">
        <f>[960]Tasas!$B$28</f>
        <v>1.0419732897247207</v>
      </c>
      <c r="F18" s="6">
        <f>[960]Tasas!$B$31</f>
        <v>1.0269784172661871</v>
      </c>
      <c r="G18" s="6">
        <f>[960]Tasas!$B$35</f>
        <v>0.86112423240434577</v>
      </c>
    </row>
    <row r="19" spans="2:7" s="8" customFormat="1" ht="20.100000000000001" customHeight="1" thickBot="1" x14ac:dyDescent="0.25">
      <c r="B19" s="5" t="s">
        <v>49</v>
      </c>
      <c r="C19" s="6">
        <f>[961]Tasas!$B$36</f>
        <v>1.0045664915065313</v>
      </c>
      <c r="D19" s="6">
        <f>[961]Tasas!$B$17</f>
        <v>0.90654831686484671</v>
      </c>
      <c r="E19" s="6">
        <f>[961]Tasas!$B$28</f>
        <v>1.0274657394671149</v>
      </c>
      <c r="F19" s="6">
        <f>[961]Tasas!$B$31</f>
        <v>1.0476190476190477</v>
      </c>
      <c r="G19" s="6">
        <f>[961]Tasas!$B$35</f>
        <v>0.87853297442799461</v>
      </c>
    </row>
    <row r="20" spans="2:7" s="8" customFormat="1" ht="20.100000000000001" customHeight="1" thickBot="1" x14ac:dyDescent="0.25">
      <c r="B20" s="5" t="s">
        <v>50</v>
      </c>
      <c r="C20" s="6">
        <f>[962]Tasas!$B$36</f>
        <v>0.96457240339787109</v>
      </c>
      <c r="D20" s="6">
        <f>[962]Tasas!$B$17</f>
        <v>0.86038276069921638</v>
      </c>
      <c r="E20" s="6">
        <f>[962]Tasas!$B$28</f>
        <v>0.98168460867035201</v>
      </c>
      <c r="F20" s="6">
        <f>[962]Tasas!$B$31</f>
        <v>0.98355754857997013</v>
      </c>
      <c r="G20" s="6">
        <f>[962]Tasas!$B$35</f>
        <v>1.0313576843556169</v>
      </c>
    </row>
    <row r="21" spans="2:7" s="8" customFormat="1" ht="20.100000000000001" customHeight="1" thickBot="1" x14ac:dyDescent="0.25">
      <c r="B21" s="5" t="s">
        <v>51</v>
      </c>
      <c r="C21" s="6">
        <f>[963]Tasas!$B$36</f>
        <v>0.96467571433555455</v>
      </c>
      <c r="D21" s="6">
        <f>[963]Tasas!$B$17</f>
        <v>0.9004500054878718</v>
      </c>
      <c r="E21" s="6">
        <f>[963]Tasas!$B$28</f>
        <v>0.98164058164058166</v>
      </c>
      <c r="F21" s="6">
        <f>[963]Tasas!$B$31</f>
        <v>0.91098484848484851</v>
      </c>
      <c r="G21" s="6">
        <f>[963]Tasas!$B$35</f>
        <v>0.90764572293716883</v>
      </c>
    </row>
    <row r="22" spans="2:7" s="8" customFormat="1" ht="15" thickBot="1" x14ac:dyDescent="0.25">
      <c r="B22" s="5" t="s">
        <v>52</v>
      </c>
      <c r="C22" s="6">
        <f>[964]Tasas!$B$36</f>
        <v>1.0019768215333016</v>
      </c>
      <c r="D22" s="6">
        <f>[964]Tasas!$B$17</f>
        <v>0.98560128537881597</v>
      </c>
      <c r="E22" s="6">
        <f>[964]Tasas!$B$28</f>
        <v>1.0350977159206634</v>
      </c>
      <c r="F22" s="6">
        <f>[964]Tasas!$B$31</f>
        <v>1.0776280323450136</v>
      </c>
      <c r="G22" s="6">
        <f>[964]Tasas!$B$35</f>
        <v>0.5825289575289575</v>
      </c>
    </row>
    <row r="23" spans="2:7" s="8" customFormat="1" ht="20.100000000000001" customHeight="1" thickBot="1" x14ac:dyDescent="0.25">
      <c r="B23" s="5" t="s">
        <v>53</v>
      </c>
      <c r="C23" s="6">
        <f>[965]Tasas!$B$36</f>
        <v>0.9991116375481196</v>
      </c>
      <c r="D23" s="6">
        <f>[965]Tasas!$B$17</f>
        <v>0.95295629820051408</v>
      </c>
      <c r="E23" s="6">
        <f>[965]Tasas!$B$28</f>
        <v>1.0151840255730957</v>
      </c>
      <c r="F23" s="6">
        <f>[965]Tasas!$B$31</f>
        <v>1.0517086330935252</v>
      </c>
      <c r="G23" s="6">
        <f>[965]Tasas!$B$35</f>
        <v>0.95548764283816101</v>
      </c>
    </row>
    <row r="24" spans="2:7" s="8" customFormat="1" ht="20.100000000000001" customHeight="1" thickBot="1" x14ac:dyDescent="0.25">
      <c r="B24" s="5" t="s">
        <v>54</v>
      </c>
      <c r="C24" s="6">
        <f>[966]Tasas!$B$36</f>
        <v>0.97807534537224761</v>
      </c>
      <c r="D24" s="6">
        <f>[966]Tasas!$B$17</f>
        <v>0.99908116385911183</v>
      </c>
      <c r="E24" s="6">
        <f>[966]Tasas!$B$28</f>
        <v>0.97202047862840812</v>
      </c>
      <c r="F24" s="6">
        <f>[966]Tasas!$B$31</f>
        <v>1.1246200607902737</v>
      </c>
      <c r="G24" s="6">
        <f>[966]Tasas!$B$35</f>
        <v>0.95960832313341493</v>
      </c>
    </row>
    <row r="25" spans="2:7" s="8" customFormat="1" ht="20.100000000000001" customHeight="1" thickBot="1" x14ac:dyDescent="0.25">
      <c r="B25" s="5" t="s">
        <v>55</v>
      </c>
      <c r="C25" s="6">
        <f>[967]Tasas!$B$36</f>
        <v>0.99620910034413068</v>
      </c>
      <c r="D25" s="6">
        <f>[967]Tasas!$B$17</f>
        <v>0.89343009931245221</v>
      </c>
      <c r="E25" s="6">
        <f>[967]Tasas!$B$28</f>
        <v>1.011880055342699</v>
      </c>
      <c r="F25" s="6">
        <f>[967]Tasas!$B$31</f>
        <v>1.1283497884344147</v>
      </c>
      <c r="G25" s="6">
        <f>[967]Tasas!$B$35</f>
        <v>1.0249221183800623</v>
      </c>
    </row>
    <row r="26" spans="2:7" s="8" customFormat="1" ht="20.100000000000001" customHeight="1" thickBot="1" x14ac:dyDescent="0.25">
      <c r="B26" s="5" t="s">
        <v>56</v>
      </c>
      <c r="C26" s="6">
        <f>[968]Tasas!$B$36</f>
        <v>0.99315876857834406</v>
      </c>
      <c r="D26" s="6">
        <f>[968]Tasas!$B$17</f>
        <v>0.93645707139786627</v>
      </c>
      <c r="E26" s="6">
        <f>[968]Tasas!$B$28</f>
        <v>1.0114012761061331</v>
      </c>
      <c r="F26" s="6">
        <f>[968]Tasas!$B$31</f>
        <v>1.0201207243460764</v>
      </c>
      <c r="G26" s="6">
        <f>[968]Tasas!$B$35</f>
        <v>0.90965846492838776</v>
      </c>
    </row>
    <row r="27" spans="2:7" ht="15" thickBot="1" x14ac:dyDescent="0.25">
      <c r="B27" s="5" t="s">
        <v>57</v>
      </c>
      <c r="C27" s="6">
        <f>[969]Tasas!$B$36</f>
        <v>1.0210986424578659</v>
      </c>
      <c r="D27" s="6">
        <f>[969]Tasas!$B$17</f>
        <v>0.92142345354669219</v>
      </c>
      <c r="E27" s="6">
        <f>[969]Tasas!$B$28</f>
        <v>1.0467829758862095</v>
      </c>
      <c r="F27" s="6">
        <f>[969]Tasas!$B$31</f>
        <v>1.0424929178470255</v>
      </c>
      <c r="G27" s="6">
        <f>[969]Tasas!$B$35</f>
        <v>0.97928286852589641</v>
      </c>
    </row>
    <row r="28" spans="2:7" ht="15" thickBot="1" x14ac:dyDescent="0.25">
      <c r="B28" s="5" t="s">
        <v>58</v>
      </c>
      <c r="C28" s="6">
        <f>[970]Tasas!$B$36</f>
        <v>1.0107317922092989</v>
      </c>
      <c r="D28" s="6">
        <f>[970]Tasas!$B$17</f>
        <v>0.98894869034804445</v>
      </c>
      <c r="E28" s="6">
        <f>[970]Tasas!$B$28</f>
        <v>1.0173448433979944</v>
      </c>
      <c r="F28" s="6">
        <f>[970]Tasas!$B$31</f>
        <v>1.1831932773109244</v>
      </c>
      <c r="G28" s="6">
        <f>[970]Tasas!$B$35</f>
        <v>0.98007033997655335</v>
      </c>
    </row>
    <row r="29" spans="2:7" ht="15" thickBot="1" x14ac:dyDescent="0.25">
      <c r="B29" s="5" t="s">
        <v>59</v>
      </c>
      <c r="C29" s="6">
        <f>[971]Tasas!$B$36</f>
        <v>0.99547285026189036</v>
      </c>
      <c r="D29" s="6">
        <f>[971]Tasas!$B$17</f>
        <v>0.94531045893930155</v>
      </c>
      <c r="E29" s="6">
        <f>[971]Tasas!$B$28</f>
        <v>1.0062156386120038</v>
      </c>
      <c r="F29" s="6">
        <f>[971]Tasas!$B$31</f>
        <v>0.93020457280385083</v>
      </c>
      <c r="G29" s="6">
        <f>[971]Tasas!$B$35</f>
        <v>0.98357894736842111</v>
      </c>
    </row>
    <row r="30" spans="2:7" ht="15" thickBot="1" x14ac:dyDescent="0.25">
      <c r="B30" s="5" t="s">
        <v>60</v>
      </c>
      <c r="C30" s="6">
        <f>[972]Tasas!$B$36</f>
        <v>1.0054246165357277</v>
      </c>
      <c r="D30" s="6">
        <f>[972]Tasas!$B$17</f>
        <v>0.9697109826589595</v>
      </c>
      <c r="E30" s="6">
        <f>[972]Tasas!$B$28</f>
        <v>1.0324882629107981</v>
      </c>
      <c r="F30" s="6">
        <f>[972]Tasas!$B$31</f>
        <v>0.95256916996047436</v>
      </c>
      <c r="G30" s="6">
        <f>[972]Tasas!$B$35</f>
        <v>0.68712394705174484</v>
      </c>
    </row>
    <row r="31" spans="2:7" ht="15" thickBot="1" x14ac:dyDescent="0.25">
      <c r="B31" s="5" t="s">
        <v>61</v>
      </c>
      <c r="C31" s="6">
        <f>[973]Tasas!$B$36</f>
        <v>1.0118667339161622</v>
      </c>
      <c r="D31" s="6">
        <f>[973]Tasas!$B$17</f>
        <v>0.96043557168784033</v>
      </c>
      <c r="E31" s="6">
        <f>[973]Tasas!$B$28</f>
        <v>1.0239202534694558</v>
      </c>
      <c r="F31" s="6">
        <f>[973]Tasas!$B$31</f>
        <v>1.0503067484662576</v>
      </c>
      <c r="G31" s="6">
        <f>[973]Tasas!$B$35</f>
        <v>1.0213143872113677</v>
      </c>
    </row>
    <row r="32" spans="2:7" ht="15" thickBot="1" x14ac:dyDescent="0.25">
      <c r="B32" s="5" t="s">
        <v>62</v>
      </c>
      <c r="C32" s="6">
        <f>[974]Tasas!$B$36</f>
        <v>0.9864850203809612</v>
      </c>
      <c r="D32" s="6">
        <f>[974]Tasas!$B$17</f>
        <v>0.9475439449732509</v>
      </c>
      <c r="E32" s="6">
        <f>[974]Tasas!$B$28</f>
        <v>1.0139426627576482</v>
      </c>
      <c r="F32" s="6">
        <f>[974]Tasas!$B$31</f>
        <v>1.1024258760107817</v>
      </c>
      <c r="G32" s="6">
        <f>[974]Tasas!$B$35</f>
        <v>0.82649372740803739</v>
      </c>
    </row>
    <row r="33" spans="2:7" ht="15" thickBot="1" x14ac:dyDescent="0.25">
      <c r="B33" s="5" t="s">
        <v>63</v>
      </c>
      <c r="C33" s="6">
        <f>[975]Tasas!$B$36</f>
        <v>0.98416909122026353</v>
      </c>
      <c r="D33" s="6">
        <f>[975]Tasas!$B$17</f>
        <v>0.87022554686614528</v>
      </c>
      <c r="E33" s="6">
        <f>[975]Tasas!$B$28</f>
        <v>1.0167420194547199</v>
      </c>
      <c r="F33" s="6">
        <f>[975]Tasas!$B$31</f>
        <v>0.7857142857142857</v>
      </c>
      <c r="G33" s="6">
        <f>[975]Tasas!$B$35</f>
        <v>0.87825278810408924</v>
      </c>
    </row>
    <row r="34" spans="2:7" ht="15" thickBot="1" x14ac:dyDescent="0.25">
      <c r="B34" s="5" t="s">
        <v>64</v>
      </c>
      <c r="C34" s="6">
        <f>[976]Tasas!$B$36</f>
        <v>1.0289737425458179</v>
      </c>
      <c r="D34" s="6">
        <f>[976]Tasas!$B$17</f>
        <v>1.0144500561167227</v>
      </c>
      <c r="E34" s="6">
        <f>[976]Tasas!$B$28</f>
        <v>1.0144041129282453</v>
      </c>
      <c r="F34" s="6">
        <f>[976]Tasas!$B$31</f>
        <v>1.1666666666666667</v>
      </c>
      <c r="G34" s="6">
        <f>[976]Tasas!$B$35</f>
        <v>1.2231320368474923</v>
      </c>
    </row>
    <row r="35" spans="2:7" ht="15" thickBot="1" x14ac:dyDescent="0.25">
      <c r="B35" s="5" t="s">
        <v>65</v>
      </c>
      <c r="C35" s="6">
        <f>[977]Tasas!$B$36</f>
        <v>1.0291102461487858</v>
      </c>
      <c r="D35" s="6">
        <f>[977]Tasas!$B$17</f>
        <v>0.98393184514180954</v>
      </c>
      <c r="E35" s="6">
        <f>[977]Tasas!$B$28</f>
        <v>1.0478359908883828</v>
      </c>
      <c r="F35" s="6">
        <f>[977]Tasas!$B$31</f>
        <v>1.0756880733944953</v>
      </c>
      <c r="G35" s="6">
        <f>[977]Tasas!$B$35</f>
        <v>1.0143462667101402</v>
      </c>
    </row>
    <row r="36" spans="2:7" ht="15" thickBot="1" x14ac:dyDescent="0.25">
      <c r="B36" s="5" t="s">
        <v>32</v>
      </c>
      <c r="C36" s="6">
        <f>[978]Tasas!$B$36</f>
        <v>0.98588498364422361</v>
      </c>
      <c r="D36" s="6">
        <f>[978]Tasas!$B$17</f>
        <v>0.93210613177605683</v>
      </c>
      <c r="E36" s="6">
        <f>[978]Tasas!$B$28</f>
        <v>1.0022203546949324</v>
      </c>
      <c r="F36" s="6">
        <f>[978]Tasas!$B$31</f>
        <v>1.0172778237294366</v>
      </c>
      <c r="G36" s="6">
        <f>[978]Tasas!$B$35</f>
        <v>0.86846719742013501</v>
      </c>
    </row>
    <row r="37" spans="2:7" ht="15" thickBot="1" x14ac:dyDescent="0.25">
      <c r="B37" s="5" t="s">
        <v>66</v>
      </c>
      <c r="C37" s="6">
        <f>[979]Tasas!$B$36</f>
        <v>0.99866018736110074</v>
      </c>
      <c r="D37" s="6">
        <f>[979]Tasas!$B$17</f>
        <v>0.92728162248710189</v>
      </c>
      <c r="E37" s="6">
        <f>[979]Tasas!$B$28</f>
        <v>1.0183974839955938</v>
      </c>
      <c r="F37" s="6">
        <f>[979]Tasas!$B$31</f>
        <v>0.95294117647058818</v>
      </c>
      <c r="G37" s="6">
        <f>[979]Tasas!$B$35</f>
        <v>0.80501239328008811</v>
      </c>
    </row>
    <row r="38" spans="2:7" ht="15" thickBot="1" x14ac:dyDescent="0.25">
      <c r="B38" s="5" t="s">
        <v>33</v>
      </c>
      <c r="C38" s="6">
        <f>[980]Tasas!$B$36</f>
        <v>0.97678136033912366</v>
      </c>
      <c r="D38" s="6">
        <f>[980]Tasas!$B$17</f>
        <v>0.94256099505660984</v>
      </c>
      <c r="E38" s="6">
        <f>[980]Tasas!$B$28</f>
        <v>0.99694553875638836</v>
      </c>
      <c r="F38" s="6">
        <f>[980]Tasas!$B$31</f>
        <v>0.78926056338028172</v>
      </c>
      <c r="G38" s="6">
        <f>[980]Tasas!$B$35</f>
        <v>0.89083726755949511</v>
      </c>
    </row>
    <row r="39" spans="2:7" ht="15" thickBot="1" x14ac:dyDescent="0.25">
      <c r="B39" s="5" t="s">
        <v>34</v>
      </c>
      <c r="C39" s="6">
        <f>[981]Tasas!$B$36</f>
        <v>0.99756774404178905</v>
      </c>
      <c r="D39" s="6">
        <f>[981]Tasas!$B$17</f>
        <v>0.95524763598913964</v>
      </c>
      <c r="E39" s="6">
        <f>[981]Tasas!$B$28</f>
        <v>1.009101492221399</v>
      </c>
      <c r="F39" s="6">
        <f>[981]Tasas!$B$31</f>
        <v>1.195258019525802</v>
      </c>
      <c r="G39" s="6">
        <f>[981]Tasas!$B$35</f>
        <v>0.90790982040504398</v>
      </c>
    </row>
    <row r="40" spans="2:7" ht="15" thickBot="1" x14ac:dyDescent="0.25">
      <c r="B40" s="5" t="s">
        <v>67</v>
      </c>
      <c r="C40" s="6">
        <f>[982]Tasas!$B$36</f>
        <v>0.99206957625102432</v>
      </c>
      <c r="D40" s="6">
        <f>[982]Tasas!$B$17</f>
        <v>0.98512962231872614</v>
      </c>
      <c r="E40" s="6">
        <f>[982]Tasas!$B$28</f>
        <v>0.99368278559073475</v>
      </c>
      <c r="F40" s="6">
        <f>[982]Tasas!$B$31</f>
        <v>1.1469026548672567</v>
      </c>
      <c r="G40" s="6">
        <f>[982]Tasas!$B$35</f>
        <v>0.96678606317160531</v>
      </c>
    </row>
    <row r="41" spans="2:7" ht="15" thickBot="1" x14ac:dyDescent="0.25">
      <c r="B41" s="5" t="s">
        <v>31</v>
      </c>
      <c r="C41" s="6">
        <f>[983]Tasas!$B$36</f>
        <v>0.99568096115057436</v>
      </c>
      <c r="D41" s="6">
        <f>[983]Tasas!$B$17</f>
        <v>0.97585272050942562</v>
      </c>
      <c r="E41" s="6">
        <f>[983]Tasas!$B$28</f>
        <v>1.0311529611509505</v>
      </c>
      <c r="F41" s="6">
        <f>[983]Tasas!$B$31</f>
        <v>0.98056265984654734</v>
      </c>
      <c r="G41" s="6">
        <f>[983]Tasas!$B$35</f>
        <v>0.81104672485879847</v>
      </c>
    </row>
    <row r="42" spans="2:7" ht="15" thickBot="1" x14ac:dyDescent="0.25">
      <c r="B42" s="5" t="s">
        <v>68</v>
      </c>
      <c r="C42" s="6">
        <f>[984]Tasas!$B$36</f>
        <v>1.0053496188988307</v>
      </c>
      <c r="D42" s="6">
        <f>[984]Tasas!$B$17</f>
        <v>0.94668757350058796</v>
      </c>
      <c r="E42" s="6">
        <f>[984]Tasas!$B$28</f>
        <v>1.0263048306496392</v>
      </c>
      <c r="F42" s="6">
        <f>[984]Tasas!$B$31</f>
        <v>0.83955223880597019</v>
      </c>
      <c r="G42" s="6">
        <f>[984]Tasas!$B$35</f>
        <v>1.0364312267657994</v>
      </c>
    </row>
    <row r="43" spans="2:7" ht="15" thickBot="1" x14ac:dyDescent="0.25">
      <c r="B43" s="5" t="s">
        <v>69</v>
      </c>
      <c r="C43" s="6">
        <f>[985]Tasas!$B$36</f>
        <v>0.9894084829256975</v>
      </c>
      <c r="D43" s="6">
        <f>[985]Tasas!$B$17</f>
        <v>0.871231583914434</v>
      </c>
      <c r="E43" s="6">
        <f>[985]Tasas!$B$28</f>
        <v>1.0347744150045992</v>
      </c>
      <c r="F43" s="6">
        <f>[985]Tasas!$B$31</f>
        <v>0.93612774451097802</v>
      </c>
      <c r="G43" s="6">
        <f>[985]Tasas!$B$35</f>
        <v>0.8628357167771189</v>
      </c>
    </row>
    <row r="44" spans="2:7" ht="15" thickBot="1" x14ac:dyDescent="0.25">
      <c r="B44" s="5" t="s">
        <v>70</v>
      </c>
      <c r="C44" s="6">
        <f>[986]Tasas!$B$36</f>
        <v>1.0114647853939382</v>
      </c>
      <c r="D44" s="6">
        <f>[986]Tasas!$B$17</f>
        <v>0.97442823698901493</v>
      </c>
      <c r="E44" s="6">
        <f>[986]Tasas!$B$28</f>
        <v>1.021462651923015</v>
      </c>
      <c r="F44" s="6">
        <f>[986]Tasas!$B$31</f>
        <v>1.0175541252194267</v>
      </c>
      <c r="G44" s="6">
        <f>[986]Tasas!$B$35</f>
        <v>0.97857248411408304</v>
      </c>
    </row>
    <row r="45" spans="2:7" ht="15" thickBot="1" x14ac:dyDescent="0.25">
      <c r="B45" s="5" t="s">
        <v>71</v>
      </c>
      <c r="C45" s="6">
        <f>[987]Tasas!$B$36</f>
        <v>0.9806366664084889</v>
      </c>
      <c r="D45" s="6">
        <f>[987]Tasas!$B$17</f>
        <v>0.97130065434508095</v>
      </c>
      <c r="E45" s="6">
        <f>[987]Tasas!$B$28</f>
        <v>0.99966833726415094</v>
      </c>
      <c r="F45" s="6">
        <f>[987]Tasas!$B$31</f>
        <v>0.96181046676096182</v>
      </c>
      <c r="G45" s="6">
        <f>[987]Tasas!$B$35</f>
        <v>0.78705828361633778</v>
      </c>
    </row>
    <row r="46" spans="2:7" ht="15" thickBot="1" x14ac:dyDescent="0.25">
      <c r="B46" s="5" t="s">
        <v>72</v>
      </c>
      <c r="C46" s="6">
        <f>[988]Tasas!$B$36</f>
        <v>0.99574379482029018</v>
      </c>
      <c r="D46" s="6">
        <f>[988]Tasas!$B$17</f>
        <v>0.90875149342891282</v>
      </c>
      <c r="E46" s="6">
        <f>[988]Tasas!$B$28</f>
        <v>1.0123454900309976</v>
      </c>
      <c r="F46" s="6">
        <f>[988]Tasas!$B$31</f>
        <v>0.92411014103425115</v>
      </c>
      <c r="G46" s="6">
        <f>[988]Tasas!$B$35</f>
        <v>1.0570708228283292</v>
      </c>
    </row>
    <row r="47" spans="2:7" ht="15" thickBot="1" x14ac:dyDescent="0.25">
      <c r="B47" s="5" t="s">
        <v>5</v>
      </c>
      <c r="C47" s="6">
        <f>[989]Tasas!$B$36</f>
        <v>1.0039673933842759</v>
      </c>
      <c r="D47" s="6">
        <f>[989]Tasas!$B$17</f>
        <v>0.96725885434460768</v>
      </c>
      <c r="E47" s="6">
        <f>[989]Tasas!$B$28</f>
        <v>1.0218137166383763</v>
      </c>
      <c r="F47" s="6">
        <f>[989]Tasas!$B$31</f>
        <v>1.0980392156862746</v>
      </c>
      <c r="G47" s="6">
        <f>[989]Tasas!$B$35</f>
        <v>0.90691964285714288</v>
      </c>
    </row>
    <row r="48" spans="2:7" ht="15" thickBot="1" x14ac:dyDescent="0.25">
      <c r="B48" s="5" t="s">
        <v>73</v>
      </c>
      <c r="C48" s="6">
        <f>[990]Tasas!$B$36</f>
        <v>0.95030317441445722</v>
      </c>
      <c r="D48" s="6">
        <f>[990]Tasas!$B$17</f>
        <v>0.87557019766852506</v>
      </c>
      <c r="E48" s="6">
        <f>[990]Tasas!$B$28</f>
        <v>0.96833861023162804</v>
      </c>
      <c r="F48" s="6">
        <f>[990]Tasas!$B$31</f>
        <v>1.0326530612244897</v>
      </c>
      <c r="G48" s="6">
        <f>[990]Tasas!$B$35</f>
        <v>1.0429252782193958</v>
      </c>
    </row>
    <row r="49" spans="2:7" ht="15" thickBot="1" x14ac:dyDescent="0.25">
      <c r="B49" s="5" t="s">
        <v>74</v>
      </c>
      <c r="C49" s="6">
        <f>[991]Tasas!$B$36</f>
        <v>1.0086618143268995</v>
      </c>
      <c r="D49" s="6">
        <f>[991]Tasas!$B$17</f>
        <v>0.95743040873854823</v>
      </c>
      <c r="E49" s="6">
        <f>[991]Tasas!$B$28</f>
        <v>1.0178126901587652</v>
      </c>
      <c r="F49" s="6">
        <f>[991]Tasas!$B$31</f>
        <v>0.96829477292202226</v>
      </c>
      <c r="G49" s="6">
        <f>[991]Tasas!$B$35</f>
        <v>0.96767909324360224</v>
      </c>
    </row>
    <row r="50" spans="2:7" ht="15" thickBot="1" x14ac:dyDescent="0.25">
      <c r="B50" s="5" t="s">
        <v>75</v>
      </c>
      <c r="C50" s="6">
        <f>[992]Tasas!$B$36</f>
        <v>0.96869154277837943</v>
      </c>
      <c r="D50" s="6">
        <f>[992]Tasas!$B$17</f>
        <v>0.85377358490566035</v>
      </c>
      <c r="E50" s="6">
        <f>[992]Tasas!$B$28</f>
        <v>1.0190434012400353</v>
      </c>
      <c r="F50" s="6">
        <f>[992]Tasas!$B$31</f>
        <v>0.63779527559055116</v>
      </c>
      <c r="G50" s="6">
        <f>[992]Tasas!$B$35</f>
        <v>1.1286863270777481</v>
      </c>
    </row>
    <row r="51" spans="2:7" ht="15" thickBot="1" x14ac:dyDescent="0.25">
      <c r="B51" s="5" t="s">
        <v>76</v>
      </c>
      <c r="C51" s="6">
        <f>[993]Tasas!$B$36</f>
        <v>0.99488764983819755</v>
      </c>
      <c r="D51" s="6">
        <f>[993]Tasas!$B$17</f>
        <v>0.90462396152164404</v>
      </c>
      <c r="E51" s="6">
        <f>[993]Tasas!$B$28</f>
        <v>1.005576529451899</v>
      </c>
      <c r="F51" s="6">
        <f>[993]Tasas!$B$31</f>
        <v>1.0496688741721854</v>
      </c>
      <c r="G51" s="6">
        <f>[993]Tasas!$B$35</f>
        <v>1.1522896698615548</v>
      </c>
    </row>
    <row r="52" spans="2:7" ht="15" thickBot="1" x14ac:dyDescent="0.25">
      <c r="B52" s="5" t="s">
        <v>77</v>
      </c>
      <c r="C52" s="6">
        <f>[994]Tasas!$B$36</f>
        <v>0.98334179786693754</v>
      </c>
      <c r="D52" s="6">
        <f>[994]Tasas!$B$17</f>
        <v>0.89702643171806162</v>
      </c>
      <c r="E52" s="6">
        <f>[994]Tasas!$B$28</f>
        <v>1.0065270601033451</v>
      </c>
      <c r="F52" s="6">
        <f>[994]Tasas!$B$31</f>
        <v>0.85561497326203206</v>
      </c>
      <c r="G52" s="6">
        <f>[994]Tasas!$B$35</f>
        <v>1.0040983606557377</v>
      </c>
    </row>
    <row r="53" spans="2:7" ht="15" thickBot="1" x14ac:dyDescent="0.25">
      <c r="B53" s="5" t="s">
        <v>78</v>
      </c>
      <c r="C53" s="6">
        <f>[995]Tasas!$B$36</f>
        <v>1.0208538332729125</v>
      </c>
      <c r="D53" s="6">
        <f>[995]Tasas!$B$17</f>
        <v>0.92814699698327086</v>
      </c>
      <c r="E53" s="6">
        <f>[995]Tasas!$B$28</f>
        <v>1.0403815358908306</v>
      </c>
      <c r="F53" s="6">
        <f>[995]Tasas!$B$31</f>
        <v>1.0856844305120168</v>
      </c>
      <c r="G53" s="6">
        <f>[995]Tasas!$B$35</f>
        <v>1.0584636301835486</v>
      </c>
    </row>
    <row r="54" spans="2:7" ht="15" thickBot="1" x14ac:dyDescent="0.25">
      <c r="B54" s="5" t="s">
        <v>79</v>
      </c>
      <c r="C54" s="6">
        <f>[996]Tasas!$B$36</f>
        <v>0.98173565714514344</v>
      </c>
      <c r="D54" s="6">
        <f>[996]Tasas!$B$17</f>
        <v>0.96449412712863603</v>
      </c>
      <c r="E54" s="6">
        <f>[996]Tasas!$B$28</f>
        <v>0.99702352856246423</v>
      </c>
      <c r="F54" s="6">
        <f>[996]Tasas!$B$31</f>
        <v>0.98980044345897999</v>
      </c>
      <c r="G54" s="6">
        <f>[996]Tasas!$B$35</f>
        <v>0.74097245088354735</v>
      </c>
    </row>
    <row r="55" spans="2:7" ht="15" thickBot="1" x14ac:dyDescent="0.25">
      <c r="B55" s="5" t="s">
        <v>80</v>
      </c>
      <c r="C55" s="6">
        <f>[997]Tasas!$B$36</f>
        <v>0.98995932892730043</v>
      </c>
      <c r="D55" s="6">
        <f>[997]Tasas!$B$17</f>
        <v>0.96027657266811284</v>
      </c>
      <c r="E55" s="6">
        <f>[997]Tasas!$B$28</f>
        <v>0.99791383219954644</v>
      </c>
      <c r="F55" s="6">
        <f>[997]Tasas!$B$31</f>
        <v>1.0021621621621621</v>
      </c>
      <c r="G55" s="6">
        <f>[997]Tasas!$B$35</f>
        <v>1.0138932743921691</v>
      </c>
    </row>
    <row r="56" spans="2:7" ht="15" thickBot="1" x14ac:dyDescent="0.25">
      <c r="B56" s="5" t="s">
        <v>81</v>
      </c>
      <c r="C56" s="6">
        <f>[998]Tasas!$B$36</f>
        <v>1.0166532920068616</v>
      </c>
      <c r="D56" s="6">
        <f>[998]Tasas!$B$17</f>
        <v>0.99544159544159549</v>
      </c>
      <c r="E56" s="6">
        <f>[998]Tasas!$B$28</f>
        <v>1.0279612750503282</v>
      </c>
      <c r="F56" s="6">
        <f>[998]Tasas!$B$31</f>
        <v>0.99234693877551017</v>
      </c>
      <c r="G56" s="6">
        <f>[998]Tasas!$B$35</f>
        <v>0.95927352779306552</v>
      </c>
    </row>
    <row r="57" spans="2:7" ht="15" thickBot="1" x14ac:dyDescent="0.25">
      <c r="B57" s="5" t="s">
        <v>82</v>
      </c>
      <c r="C57" s="6">
        <f>[999]Tasas!$B$36</f>
        <v>0.99531794425087106</v>
      </c>
      <c r="D57" s="6">
        <f>[999]Tasas!$B$17</f>
        <v>0.98845214301576723</v>
      </c>
      <c r="E57" s="6">
        <f>[999]Tasas!$B$28</f>
        <v>1.0026269702276707</v>
      </c>
      <c r="F57" s="6">
        <f>[999]Tasas!$B$31</f>
        <v>1.0674157303370786</v>
      </c>
      <c r="G57" s="6">
        <f>[999]Tasas!$B$35</f>
        <v>0.91795366795366795</v>
      </c>
    </row>
    <row r="58" spans="2:7" ht="15" thickBot="1" x14ac:dyDescent="0.25">
      <c r="B58" s="5" t="s">
        <v>83</v>
      </c>
      <c r="C58" s="6">
        <f>[1000]Tasas!$B$36</f>
        <v>1.0105616898703793</v>
      </c>
      <c r="D58" s="6">
        <f>[1000]Tasas!$B$17</f>
        <v>0.96118109532743679</v>
      </c>
      <c r="E58" s="6">
        <f>[1000]Tasas!$B$28</f>
        <v>1.0354790366988464</v>
      </c>
      <c r="F58" s="6">
        <f>[1000]Tasas!$B$31</f>
        <v>0.68803945745992601</v>
      </c>
      <c r="G58" s="6">
        <f>[1000]Tasas!$B$35</f>
        <v>0.9662608695652174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2339C-DAFD-43E1-A82C-CC15E95D4459}">
  <dimension ref="B7:G58"/>
  <sheetViews>
    <sheetView workbookViewId="0">
      <selection activeCell="A2" sqref="A2"/>
    </sheetView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f>[1001]Tasas!$B$36</f>
        <v>0.98761076468657694</v>
      </c>
      <c r="D9" s="6">
        <f>[1001]Tasas!$B$17</f>
        <v>0.95955725840783312</v>
      </c>
      <c r="E9" s="6">
        <f>[1001]Tasas!$B$28</f>
        <v>0.9999247667770087</v>
      </c>
      <c r="F9" s="6">
        <f>[1001]Tasas!$B$31</f>
        <v>1.0811485642946317</v>
      </c>
      <c r="G9" s="6">
        <f>[1001]Tasas!$B$35</f>
        <v>0.89165103189493433</v>
      </c>
    </row>
    <row r="10" spans="2:7" s="8" customFormat="1" ht="20.100000000000001" customHeight="1" thickBot="1" x14ac:dyDescent="0.25">
      <c r="B10" s="5" t="s">
        <v>40</v>
      </c>
      <c r="C10" s="6">
        <f>[1002]Tasas!$B$36</f>
        <v>1.0250741134671524</v>
      </c>
      <c r="D10" s="6">
        <f>[1002]Tasas!$B$17</f>
        <v>1.0913632180886026</v>
      </c>
      <c r="E10" s="6">
        <f>[1002]Tasas!$B$28</f>
        <v>1.0175283771035575</v>
      </c>
      <c r="F10" s="6">
        <f>[1002]Tasas!$B$31</f>
        <v>0.96900114810562576</v>
      </c>
      <c r="G10" s="6">
        <f>[1002]Tasas!$B$35</f>
        <v>0.95228070175438595</v>
      </c>
    </row>
    <row r="11" spans="2:7" s="8" customFormat="1" ht="20.100000000000001" customHeight="1" thickBot="1" x14ac:dyDescent="0.25">
      <c r="B11" s="5" t="s">
        <v>41</v>
      </c>
      <c r="C11" s="6">
        <f>[1003]Tasas!$B$36</f>
        <v>0.98054121108963443</v>
      </c>
      <c r="D11" s="6">
        <f>[1003]Tasas!$B$17</f>
        <v>0.94459538379503849</v>
      </c>
      <c r="E11" s="6">
        <f>[1003]Tasas!$B$28</f>
        <v>0.98756106159037116</v>
      </c>
      <c r="F11" s="6">
        <f>[1003]Tasas!$B$31</f>
        <v>0.90151515151515149</v>
      </c>
      <c r="G11" s="6">
        <f>[1003]Tasas!$B$35</f>
        <v>0.91039236479321317</v>
      </c>
    </row>
    <row r="12" spans="2:7" s="8" customFormat="1" ht="20.100000000000001" customHeight="1" thickBot="1" x14ac:dyDescent="0.25">
      <c r="B12" s="5" t="s">
        <v>42</v>
      </c>
      <c r="C12" s="6">
        <f>[1004]Tasas!$B$36</f>
        <v>1.0160778919230056</v>
      </c>
      <c r="D12" s="6">
        <f>[1004]Tasas!$B$17</f>
        <v>1.0333449720670391</v>
      </c>
      <c r="E12" s="6">
        <f>[1004]Tasas!$B$28</f>
        <v>1.0158191959636169</v>
      </c>
      <c r="F12" s="6">
        <f>[1004]Tasas!$B$31</f>
        <v>1.283210332103321</v>
      </c>
      <c r="G12" s="6">
        <f>[1004]Tasas!$B$35</f>
        <v>0.88497321680293206</v>
      </c>
    </row>
    <row r="13" spans="2:7" s="8" customFormat="1" ht="20.100000000000001" customHeight="1" thickBot="1" x14ac:dyDescent="0.25">
      <c r="B13" s="5" t="s">
        <v>43</v>
      </c>
      <c r="C13" s="6">
        <f>[1005]Tasas!$B$36</f>
        <v>0.97932164922456189</v>
      </c>
      <c r="D13" s="6">
        <f>[1005]Tasas!$B$17</f>
        <v>1.0553059108192189</v>
      </c>
      <c r="E13" s="6">
        <f>[1005]Tasas!$B$28</f>
        <v>0.95807314897413021</v>
      </c>
      <c r="F13" s="6">
        <f>[1005]Tasas!$B$31</f>
        <v>1.1267605633802817</v>
      </c>
      <c r="G13" s="6">
        <f>[1005]Tasas!$B$35</f>
        <v>1.0047058823529411</v>
      </c>
    </row>
    <row r="14" spans="2:7" s="8" customFormat="1" ht="20.100000000000001" customHeight="1" thickBot="1" x14ac:dyDescent="0.25">
      <c r="B14" s="5" t="s">
        <v>44</v>
      </c>
      <c r="C14" s="6">
        <f>[1006]Tasas!$B$36</f>
        <v>0.99615724939957018</v>
      </c>
      <c r="D14" s="6">
        <f>[1006]Tasas!$B$17</f>
        <v>1.0400033129037602</v>
      </c>
      <c r="E14" s="6">
        <f>[1006]Tasas!$B$28</f>
        <v>0.99437705332322468</v>
      </c>
      <c r="F14" s="6">
        <f>[1006]Tasas!$B$31</f>
        <v>1.4727061556329848</v>
      </c>
      <c r="G14" s="6">
        <f>[1006]Tasas!$B$35</f>
        <v>0.70730003492839677</v>
      </c>
    </row>
    <row r="15" spans="2:7" s="8" customFormat="1" ht="20.100000000000001" customHeight="1" thickBot="1" x14ac:dyDescent="0.25">
      <c r="B15" s="5" t="s">
        <v>45</v>
      </c>
      <c r="C15" s="6">
        <f>[1007]Tasas!$B$36</f>
        <v>0.97673522247232591</v>
      </c>
      <c r="D15" s="6">
        <f>[1007]Tasas!$B$17</f>
        <v>0.92751625671473004</v>
      </c>
      <c r="E15" s="6">
        <f>[1007]Tasas!$B$28</f>
        <v>0.986587916054669</v>
      </c>
      <c r="F15" s="6">
        <f>[1007]Tasas!$B$31</f>
        <v>0.6708984375</v>
      </c>
      <c r="G15" s="6">
        <f>[1007]Tasas!$B$35</f>
        <v>1.0034858387799563</v>
      </c>
    </row>
    <row r="16" spans="2:7" s="8" customFormat="1" ht="20.100000000000001" customHeight="1" thickBot="1" x14ac:dyDescent="0.25">
      <c r="B16" s="5" t="s">
        <v>46</v>
      </c>
      <c r="C16" s="6">
        <f>[1008]Tasas!$B$36</f>
        <v>0.99492747049436081</v>
      </c>
      <c r="D16" s="6">
        <f>[1008]Tasas!$B$17</f>
        <v>0.99932843032874152</v>
      </c>
      <c r="E16" s="6">
        <f>[1008]Tasas!$B$28</f>
        <v>0.99660957274096484</v>
      </c>
      <c r="F16" s="6">
        <f>[1008]Tasas!$B$31</f>
        <v>1.1392740302227762</v>
      </c>
      <c r="G16" s="6">
        <f>[1008]Tasas!$B$35</f>
        <v>0.93350396219914356</v>
      </c>
    </row>
    <row r="17" spans="2:7" s="8" customFormat="1" ht="20.100000000000001" customHeight="1" thickBot="1" x14ac:dyDescent="0.25">
      <c r="B17" s="5" t="s">
        <v>47</v>
      </c>
      <c r="C17" s="6">
        <f>[1009]Tasas!$B$36</f>
        <v>0.97807372373306778</v>
      </c>
      <c r="D17" s="6">
        <f>[1009]Tasas!$B$17</f>
        <v>0.98306761957119293</v>
      </c>
      <c r="E17" s="6">
        <f>[1009]Tasas!$B$28</f>
        <v>0.99871222527472525</v>
      </c>
      <c r="F17" s="6">
        <f>[1009]Tasas!$B$31</f>
        <v>0.5553299492385787</v>
      </c>
      <c r="G17" s="6">
        <f>[1009]Tasas!$B$35</f>
        <v>0.86804901036757776</v>
      </c>
    </row>
    <row r="18" spans="2:7" s="8" customFormat="1" ht="20.100000000000001" customHeight="1" thickBot="1" x14ac:dyDescent="0.25">
      <c r="B18" s="5" t="s">
        <v>48</v>
      </c>
      <c r="C18" s="6">
        <f>[1010]Tasas!$B$36</f>
        <v>0.9686107486644181</v>
      </c>
      <c r="D18" s="6">
        <f>[1010]Tasas!$B$17</f>
        <v>0.98190541466758052</v>
      </c>
      <c r="E18" s="6">
        <f>[1010]Tasas!$B$28</f>
        <v>0.99424498946030049</v>
      </c>
      <c r="F18" s="6">
        <f>[1010]Tasas!$B$31</f>
        <v>1.4217687074829932</v>
      </c>
      <c r="G18" s="6">
        <f>[1010]Tasas!$B$35</f>
        <v>0.57213057213057217</v>
      </c>
    </row>
    <row r="19" spans="2:7" s="8" customFormat="1" ht="20.100000000000001" customHeight="1" thickBot="1" x14ac:dyDescent="0.25">
      <c r="B19" s="5" t="s">
        <v>49</v>
      </c>
      <c r="C19" s="6">
        <f>[1011]Tasas!$B$36</f>
        <v>0.99528545354894671</v>
      </c>
      <c r="D19" s="6">
        <f>[1011]Tasas!$B$17</f>
        <v>0.96120604601602277</v>
      </c>
      <c r="E19" s="6">
        <f>[1011]Tasas!$B$28</f>
        <v>1.0088259534950126</v>
      </c>
      <c r="F19" s="6">
        <f>[1011]Tasas!$B$31</f>
        <v>1.1726098191214471</v>
      </c>
      <c r="G19" s="6">
        <f>[1011]Tasas!$B$35</f>
        <v>0.75670322973796467</v>
      </c>
    </row>
    <row r="20" spans="2:7" s="8" customFormat="1" ht="20.100000000000001" customHeight="1" thickBot="1" x14ac:dyDescent="0.25">
      <c r="B20" s="5" t="s">
        <v>50</v>
      </c>
      <c r="C20" s="6">
        <f>[1012]Tasas!$B$36</f>
        <v>0.95724654253078323</v>
      </c>
      <c r="D20" s="6">
        <f>[1012]Tasas!$B$17</f>
        <v>0.87826240821020973</v>
      </c>
      <c r="E20" s="6">
        <f>[1012]Tasas!$B$28</f>
        <v>0.96636479349241411</v>
      </c>
      <c r="F20" s="6">
        <f>[1012]Tasas!$B$31</f>
        <v>1</v>
      </c>
      <c r="G20" s="6">
        <f>[1012]Tasas!$B$35</f>
        <v>1.0461885092001502</v>
      </c>
    </row>
    <row r="21" spans="2:7" s="8" customFormat="1" ht="20.100000000000001" customHeight="1" thickBot="1" x14ac:dyDescent="0.25">
      <c r="B21" s="5" t="s">
        <v>51</v>
      </c>
      <c r="C21" s="6">
        <f>[1013]Tasas!$B$36</f>
        <v>0.99256803721328124</v>
      </c>
      <c r="D21" s="6">
        <f>[1013]Tasas!$B$17</f>
        <v>0.95234182415776503</v>
      </c>
      <c r="E21" s="6">
        <f>[1013]Tasas!$B$28</f>
        <v>1.0055609338766689</v>
      </c>
      <c r="F21" s="6">
        <f>[1013]Tasas!$B$31</f>
        <v>1.1368421052631579</v>
      </c>
      <c r="G21" s="6">
        <f>[1013]Tasas!$B$35</f>
        <v>0.88028169014084512</v>
      </c>
    </row>
    <row r="22" spans="2:7" s="8" customFormat="1" ht="15" thickBot="1" x14ac:dyDescent="0.25">
      <c r="B22" s="5" t="s">
        <v>52</v>
      </c>
      <c r="C22" s="6">
        <f>[1014]Tasas!$B$36</f>
        <v>0.98896829187640078</v>
      </c>
      <c r="D22" s="6">
        <f>[1014]Tasas!$B$17</f>
        <v>1.0220807369276619</v>
      </c>
      <c r="E22" s="6">
        <f>[1014]Tasas!$B$28</f>
        <v>1.0054028067123006</v>
      </c>
      <c r="F22" s="6">
        <f>[1014]Tasas!$B$31</f>
        <v>0.81073446327683618</v>
      </c>
      <c r="G22" s="6">
        <f>[1014]Tasas!$B$35</f>
        <v>0.65417929839757472</v>
      </c>
    </row>
    <row r="23" spans="2:7" s="8" customFormat="1" ht="20.100000000000001" customHeight="1" thickBot="1" x14ac:dyDescent="0.25">
      <c r="B23" s="5" t="s">
        <v>53</v>
      </c>
      <c r="C23" s="6">
        <f>[1015]Tasas!$B$36</f>
        <v>0.99648355825888613</v>
      </c>
      <c r="D23" s="6">
        <f>[1015]Tasas!$B$17</f>
        <v>0.96827597132559706</v>
      </c>
      <c r="E23" s="6">
        <f>[1015]Tasas!$B$28</f>
        <v>1.0085332633168138</v>
      </c>
      <c r="F23" s="6">
        <f>[1015]Tasas!$B$31</f>
        <v>0.89824711415134673</v>
      </c>
      <c r="G23" s="6">
        <f>[1015]Tasas!$B$35</f>
        <v>0.97454945659650571</v>
      </c>
    </row>
    <row r="24" spans="2:7" s="8" customFormat="1" ht="20.100000000000001" customHeight="1" thickBot="1" x14ac:dyDescent="0.25">
      <c r="B24" s="5" t="s">
        <v>54</v>
      </c>
      <c r="C24" s="6">
        <f>[1016]Tasas!$B$36</f>
        <v>0.94588765337423308</v>
      </c>
      <c r="D24" s="6">
        <f>[1016]Tasas!$B$17</f>
        <v>0.9057295136575616</v>
      </c>
      <c r="E24" s="6">
        <f>[1016]Tasas!$B$28</f>
        <v>0.97822905232345403</v>
      </c>
      <c r="F24" s="6">
        <f>[1016]Tasas!$B$31</f>
        <v>0.88268156424581001</v>
      </c>
      <c r="G24" s="6">
        <f>[1016]Tasas!$B$35</f>
        <v>0.5958408679927667</v>
      </c>
    </row>
    <row r="25" spans="2:7" s="8" customFormat="1" ht="20.100000000000001" customHeight="1" thickBot="1" x14ac:dyDescent="0.25">
      <c r="B25" s="5" t="s">
        <v>55</v>
      </c>
      <c r="C25" s="6">
        <f>[1017]Tasas!$B$36</f>
        <v>1.0145141758085197</v>
      </c>
      <c r="D25" s="6">
        <f>[1017]Tasas!$B$17</f>
        <v>1.0071284562211982</v>
      </c>
      <c r="E25" s="6">
        <f>[1017]Tasas!$B$28</f>
        <v>1.0166253570828432</v>
      </c>
      <c r="F25" s="6">
        <f>[1017]Tasas!$B$31</f>
        <v>1.0298507462686568</v>
      </c>
      <c r="G25" s="6">
        <f>[1017]Tasas!$B$35</f>
        <v>0.96650923142979817</v>
      </c>
    </row>
    <row r="26" spans="2:7" s="8" customFormat="1" ht="20.100000000000001" customHeight="1" thickBot="1" x14ac:dyDescent="0.25">
      <c r="B26" s="5" t="s">
        <v>56</v>
      </c>
      <c r="C26" s="6">
        <f>[1018]Tasas!$B$36</f>
        <v>1.0040348011093803</v>
      </c>
      <c r="D26" s="6">
        <f>[1018]Tasas!$B$17</f>
        <v>0.97666804998386125</v>
      </c>
      <c r="E26" s="6">
        <f>[1018]Tasas!$B$28</f>
        <v>1.0171235590064573</v>
      </c>
      <c r="F26" s="6">
        <f>[1018]Tasas!$B$31</f>
        <v>1.0935302390998594</v>
      </c>
      <c r="G26" s="6">
        <f>[1018]Tasas!$B$35</f>
        <v>0.89035087719298245</v>
      </c>
    </row>
    <row r="27" spans="2:7" ht="15" thickBot="1" x14ac:dyDescent="0.25">
      <c r="B27" s="5" t="s">
        <v>57</v>
      </c>
      <c r="C27" s="6">
        <f>[1019]Tasas!$B$36</f>
        <v>0.95810319277919975</v>
      </c>
      <c r="D27" s="6">
        <f>[1019]Tasas!$B$17</f>
        <v>0.96302765647743815</v>
      </c>
      <c r="E27" s="6">
        <f>[1019]Tasas!$B$28</f>
        <v>0.97454270068740534</v>
      </c>
      <c r="F27" s="6">
        <f>[1019]Tasas!$B$31</f>
        <v>0.8607242339832869</v>
      </c>
      <c r="G27" s="6">
        <f>[1019]Tasas!$B$35</f>
        <v>0.75630252100840334</v>
      </c>
    </row>
    <row r="28" spans="2:7" ht="15" thickBot="1" x14ac:dyDescent="0.25">
      <c r="B28" s="5" t="s">
        <v>58</v>
      </c>
      <c r="C28" s="6">
        <f>[1020]Tasas!$B$36</f>
        <v>0.9843309493426714</v>
      </c>
      <c r="D28" s="6">
        <f>[1020]Tasas!$B$17</f>
        <v>0.97792511112785352</v>
      </c>
      <c r="E28" s="6">
        <f>[1020]Tasas!$B$28</f>
        <v>1.0001017998208324</v>
      </c>
      <c r="F28" s="6">
        <f>[1020]Tasas!$B$31</f>
        <v>0.86956521739130432</v>
      </c>
      <c r="G28" s="6">
        <f>[1020]Tasas!$B$35</f>
        <v>0.84214285714285719</v>
      </c>
    </row>
    <row r="29" spans="2:7" ht="15" thickBot="1" x14ac:dyDescent="0.25">
      <c r="B29" s="5" t="s">
        <v>59</v>
      </c>
      <c r="C29" s="6">
        <f>[1021]Tasas!$B$36</f>
        <v>0.99965620616628625</v>
      </c>
      <c r="D29" s="6">
        <f>[1021]Tasas!$B$17</f>
        <v>1.0193561743090778</v>
      </c>
      <c r="E29" s="6">
        <f>[1021]Tasas!$B$28</f>
        <v>0.99841714152420935</v>
      </c>
      <c r="F29" s="6">
        <f>[1021]Tasas!$B$31</f>
        <v>1.1942257217847769</v>
      </c>
      <c r="G29" s="6">
        <f>[1021]Tasas!$B$35</f>
        <v>0.88361879666227494</v>
      </c>
    </row>
    <row r="30" spans="2:7" ht="15" thickBot="1" x14ac:dyDescent="0.25">
      <c r="B30" s="5" t="s">
        <v>60</v>
      </c>
      <c r="C30" s="6">
        <f>[1022]Tasas!$B$36</f>
        <v>0.9783721970864615</v>
      </c>
      <c r="D30" s="6">
        <f>[1022]Tasas!$B$17</f>
        <v>1.0300913487372381</v>
      </c>
      <c r="E30" s="6">
        <f>[1022]Tasas!$B$28</f>
        <v>0.97112608277189605</v>
      </c>
      <c r="F30" s="6">
        <f>[1022]Tasas!$B$31</f>
        <v>1.0232558139534884</v>
      </c>
      <c r="G30" s="6">
        <f>[1022]Tasas!$B$35</f>
        <v>0.82741116751269039</v>
      </c>
    </row>
    <row r="31" spans="2:7" ht="15" thickBot="1" x14ac:dyDescent="0.25">
      <c r="B31" s="5" t="s">
        <v>61</v>
      </c>
      <c r="C31" s="6">
        <f>[1023]Tasas!$B$36</f>
        <v>1.0283168093099455</v>
      </c>
      <c r="D31" s="6">
        <f>[1023]Tasas!$B$17</f>
        <v>0.99662771547329621</v>
      </c>
      <c r="E31" s="6">
        <f>[1023]Tasas!$B$28</f>
        <v>1.0398418826990257</v>
      </c>
      <c r="F31" s="6">
        <f>[1023]Tasas!$B$31</f>
        <v>1.0478841870824054</v>
      </c>
      <c r="G31" s="6">
        <f>[1023]Tasas!$B$35</f>
        <v>0.94145283700758942</v>
      </c>
    </row>
    <row r="32" spans="2:7" ht="15" thickBot="1" x14ac:dyDescent="0.25">
      <c r="B32" s="5" t="s">
        <v>62</v>
      </c>
      <c r="C32" s="6">
        <f>[1024]Tasas!$B$36</f>
        <v>0.95226026688734866</v>
      </c>
      <c r="D32" s="6">
        <f>[1024]Tasas!$B$17</f>
        <v>1.0024338541257753</v>
      </c>
      <c r="E32" s="6">
        <f>[1024]Tasas!$B$28</f>
        <v>0.97181952286484563</v>
      </c>
      <c r="F32" s="6">
        <f>[1024]Tasas!$B$31</f>
        <v>0.7226027397260274</v>
      </c>
      <c r="G32" s="6">
        <f>[1024]Tasas!$B$35</f>
        <v>0.71374764595103579</v>
      </c>
    </row>
    <row r="33" spans="2:7" ht="15" thickBot="1" x14ac:dyDescent="0.25">
      <c r="B33" s="5" t="s">
        <v>63</v>
      </c>
      <c r="C33" s="6">
        <f>[1025]Tasas!$B$36</f>
        <v>1.0025366714459027</v>
      </c>
      <c r="D33" s="6">
        <f>[1025]Tasas!$B$17</f>
        <v>1.0102431029773287</v>
      </c>
      <c r="E33" s="6">
        <f>[1025]Tasas!$B$28</f>
        <v>1.0062803779149145</v>
      </c>
      <c r="F33" s="6">
        <f>[1025]Tasas!$B$31</f>
        <v>0.84323040380047509</v>
      </c>
      <c r="G33" s="6">
        <f>[1025]Tasas!$B$35</f>
        <v>0.87216494845360826</v>
      </c>
    </row>
    <row r="34" spans="2:7" ht="15" thickBot="1" x14ac:dyDescent="0.25">
      <c r="B34" s="5" t="s">
        <v>64</v>
      </c>
      <c r="C34" s="6">
        <f>[1026]Tasas!$B$36</f>
        <v>0.97177922163155472</v>
      </c>
      <c r="D34" s="6">
        <f>[1026]Tasas!$B$17</f>
        <v>0.97580254879819328</v>
      </c>
      <c r="E34" s="6">
        <f>[1026]Tasas!$B$28</f>
        <v>0.98695513840279991</v>
      </c>
      <c r="F34" s="6">
        <f>[1026]Tasas!$B$31</f>
        <v>0.8610526315789474</v>
      </c>
      <c r="G34" s="6">
        <f>[1026]Tasas!$B$35</f>
        <v>0.80155642023346307</v>
      </c>
    </row>
    <row r="35" spans="2:7" ht="15" thickBot="1" x14ac:dyDescent="0.25">
      <c r="B35" s="5" t="s">
        <v>65</v>
      </c>
      <c r="C35" s="6">
        <f>[1027]Tasas!$B$36</f>
        <v>1.0105299598996047</v>
      </c>
      <c r="D35" s="6">
        <f>[1027]Tasas!$B$17</f>
        <v>1.0213859020310634</v>
      </c>
      <c r="E35" s="6">
        <f>[1027]Tasas!$B$28</f>
        <v>0.99952042551336273</v>
      </c>
      <c r="F35" s="6">
        <f>[1027]Tasas!$B$31</f>
        <v>1.1024305555555556</v>
      </c>
      <c r="G35" s="6">
        <f>[1027]Tasas!$B$35</f>
        <v>1.0496402877697841</v>
      </c>
    </row>
    <row r="36" spans="2:7" ht="15" thickBot="1" x14ac:dyDescent="0.25">
      <c r="B36" s="5" t="s">
        <v>32</v>
      </c>
      <c r="C36" s="6">
        <f>[1028]Tasas!$B$36</f>
        <v>0.99545661476827829</v>
      </c>
      <c r="D36" s="6">
        <f>[1028]Tasas!$B$17</f>
        <v>0.9930637232727163</v>
      </c>
      <c r="E36" s="6">
        <f>[1028]Tasas!$B$28</f>
        <v>1.0034712188997719</v>
      </c>
      <c r="F36" s="6">
        <f>[1028]Tasas!$B$31</f>
        <v>1.0338414963779867</v>
      </c>
      <c r="G36" s="6">
        <f>[1028]Tasas!$B$35</f>
        <v>0.84733505732658998</v>
      </c>
    </row>
    <row r="37" spans="2:7" ht="15" thickBot="1" x14ac:dyDescent="0.25">
      <c r="B37" s="5" t="s">
        <v>66</v>
      </c>
      <c r="C37" s="6">
        <f>[1029]Tasas!$B$36</f>
        <v>0.98792856340313118</v>
      </c>
      <c r="D37" s="6">
        <f>[1029]Tasas!$B$17</f>
        <v>0.93531848259837347</v>
      </c>
      <c r="E37" s="6">
        <f>[1029]Tasas!$B$28</f>
        <v>1.0094288889685583</v>
      </c>
      <c r="F37" s="6">
        <f>[1029]Tasas!$B$31</f>
        <v>0.64243672748675695</v>
      </c>
      <c r="G37" s="6">
        <f>[1029]Tasas!$B$35</f>
        <v>0.76669316375198726</v>
      </c>
    </row>
    <row r="38" spans="2:7" ht="15" thickBot="1" x14ac:dyDescent="0.25">
      <c r="B38" s="5" t="s">
        <v>33</v>
      </c>
      <c r="C38" s="6">
        <f>[1030]Tasas!$B$36</f>
        <v>0.97213366395087963</v>
      </c>
      <c r="D38" s="6">
        <f>[1030]Tasas!$B$17</f>
        <v>0.92527970644314139</v>
      </c>
      <c r="E38" s="6">
        <f>[1030]Tasas!$B$28</f>
        <v>0.98883452080618783</v>
      </c>
      <c r="F38" s="6">
        <f>[1030]Tasas!$B$31</f>
        <v>0.88854101440200373</v>
      </c>
      <c r="G38" s="6">
        <f>[1030]Tasas!$B$35</f>
        <v>0.89731103112428545</v>
      </c>
    </row>
    <row r="39" spans="2:7" ht="15" thickBot="1" x14ac:dyDescent="0.25">
      <c r="B39" s="5" t="s">
        <v>34</v>
      </c>
      <c r="C39" s="6">
        <f>[1031]Tasas!$B$36</f>
        <v>0.98420898555216885</v>
      </c>
      <c r="D39" s="6">
        <f>[1031]Tasas!$B$17</f>
        <v>0.96251782440415568</v>
      </c>
      <c r="E39" s="6">
        <f>[1031]Tasas!$B$28</f>
        <v>0.98811193481600212</v>
      </c>
      <c r="F39" s="6">
        <f>[1031]Tasas!$B$31</f>
        <v>1.0569498069498069</v>
      </c>
      <c r="G39" s="6">
        <f>[1031]Tasas!$B$35</f>
        <v>0.96779808529155786</v>
      </c>
    </row>
    <row r="40" spans="2:7" ht="15" thickBot="1" x14ac:dyDescent="0.25">
      <c r="B40" s="5" t="s">
        <v>67</v>
      </c>
      <c r="C40" s="6">
        <f>[1032]Tasas!$B$36</f>
        <v>1.0088720252211032</v>
      </c>
      <c r="D40" s="6">
        <f>[1032]Tasas!$B$17</f>
        <v>1.0464369158878504</v>
      </c>
      <c r="E40" s="6">
        <f>[1032]Tasas!$B$28</f>
        <v>1.0034600699968184</v>
      </c>
      <c r="F40" s="6">
        <f>[1032]Tasas!$B$31</f>
        <v>0.92829204693611478</v>
      </c>
      <c r="G40" s="6">
        <f>[1032]Tasas!$B$35</f>
        <v>0.98962386511024647</v>
      </c>
    </row>
    <row r="41" spans="2:7" ht="15" thickBot="1" x14ac:dyDescent="0.25">
      <c r="B41" s="5" t="s">
        <v>31</v>
      </c>
      <c r="C41" s="6">
        <f>[1033]Tasas!$B$36</f>
        <v>0.98115085348935405</v>
      </c>
      <c r="D41" s="6">
        <f>[1033]Tasas!$B$17</f>
        <v>1.009513093289689</v>
      </c>
      <c r="E41" s="6">
        <f>[1033]Tasas!$B$28</f>
        <v>1.003716738097727</v>
      </c>
      <c r="F41" s="6">
        <f>[1033]Tasas!$B$31</f>
        <v>1.1382368283776734</v>
      </c>
      <c r="G41" s="6">
        <f>[1033]Tasas!$B$35</f>
        <v>0.77998691955526489</v>
      </c>
    </row>
    <row r="42" spans="2:7" ht="15" thickBot="1" x14ac:dyDescent="0.25">
      <c r="B42" s="5" t="s">
        <v>68</v>
      </c>
      <c r="C42" s="6">
        <f>[1034]Tasas!$B$36</f>
        <v>0.96484190655969793</v>
      </c>
      <c r="D42" s="6">
        <f>[1034]Tasas!$B$17</f>
        <v>0.90940446079558523</v>
      </c>
      <c r="E42" s="6">
        <f>[1034]Tasas!$B$28</f>
        <v>0.9940967330784195</v>
      </c>
      <c r="F42" s="6">
        <f>[1034]Tasas!$B$31</f>
        <v>0.97718631178707227</v>
      </c>
      <c r="G42" s="6">
        <f>[1034]Tasas!$B$35</f>
        <v>0.84619988031119087</v>
      </c>
    </row>
    <row r="43" spans="2:7" ht="15" thickBot="1" x14ac:dyDescent="0.25">
      <c r="B43" s="5" t="s">
        <v>69</v>
      </c>
      <c r="C43" s="6">
        <f>[1035]Tasas!$B$36</f>
        <v>0.98858517434273974</v>
      </c>
      <c r="D43" s="6">
        <f>[1035]Tasas!$B$17</f>
        <v>0.9476321905868681</v>
      </c>
      <c r="E43" s="6">
        <f>[1035]Tasas!$B$28</f>
        <v>1.006065206497067</v>
      </c>
      <c r="F43" s="6">
        <f>[1035]Tasas!$B$31</f>
        <v>0.89187866927592951</v>
      </c>
      <c r="G43" s="6">
        <f>[1035]Tasas!$B$35</f>
        <v>0.8933575978161965</v>
      </c>
    </row>
    <row r="44" spans="2:7" ht="15" thickBot="1" x14ac:dyDescent="0.25">
      <c r="B44" s="5" t="s">
        <v>70</v>
      </c>
      <c r="C44" s="6">
        <f>[1036]Tasas!$B$36</f>
        <v>1.0029378384513117</v>
      </c>
      <c r="D44" s="6">
        <f>[1036]Tasas!$B$17</f>
        <v>0.98165287902367104</v>
      </c>
      <c r="E44" s="6">
        <f>[1036]Tasas!$B$28</f>
        <v>1.0120298512402164</v>
      </c>
      <c r="F44" s="6">
        <f>[1036]Tasas!$B$31</f>
        <v>0.8933405522468868</v>
      </c>
      <c r="G44" s="6">
        <f>[1036]Tasas!$B$35</f>
        <v>0.94960362400906007</v>
      </c>
    </row>
    <row r="45" spans="2:7" ht="15" thickBot="1" x14ac:dyDescent="0.25">
      <c r="B45" s="5" t="s">
        <v>71</v>
      </c>
      <c r="C45" s="6">
        <f>[1037]Tasas!$B$36</f>
        <v>0.97699448068238837</v>
      </c>
      <c r="D45" s="6">
        <f>[1037]Tasas!$B$17</f>
        <v>0.98934941614269212</v>
      </c>
      <c r="E45" s="6">
        <f>[1037]Tasas!$B$28</f>
        <v>1.0098587610124459</v>
      </c>
      <c r="F45" s="6">
        <f>[1037]Tasas!$B$31</f>
        <v>1.010752688172043</v>
      </c>
      <c r="G45" s="6">
        <f>[1037]Tasas!$B$35</f>
        <v>0.61376936316695352</v>
      </c>
    </row>
    <row r="46" spans="2:7" ht="15" thickBot="1" x14ac:dyDescent="0.25">
      <c r="B46" s="5" t="s">
        <v>72</v>
      </c>
      <c r="C46" s="6">
        <f>[1038]Tasas!$B$36</f>
        <v>1.0060850627722264</v>
      </c>
      <c r="D46" s="6">
        <f>[1038]Tasas!$B$17</f>
        <v>1.0195406239286939</v>
      </c>
      <c r="E46" s="6">
        <f>[1038]Tasas!$B$28</f>
        <v>1.0209450013979311</v>
      </c>
      <c r="F46" s="6">
        <f>[1038]Tasas!$B$31</f>
        <v>1.0692243536280233</v>
      </c>
      <c r="G46" s="6">
        <f>[1038]Tasas!$B$35</f>
        <v>0.65453125000000001</v>
      </c>
    </row>
    <row r="47" spans="2:7" ht="15" thickBot="1" x14ac:dyDescent="0.25">
      <c r="B47" s="5" t="s">
        <v>5</v>
      </c>
      <c r="C47" s="6">
        <f>[1039]Tasas!$B$36</f>
        <v>1.0153420233014188</v>
      </c>
      <c r="D47" s="6">
        <f>[1039]Tasas!$B$17</f>
        <v>1.0283256528417819</v>
      </c>
      <c r="E47" s="6">
        <f>[1039]Tasas!$B$28</f>
        <v>1.0205930807248764</v>
      </c>
      <c r="F47" s="6">
        <f>[1039]Tasas!$B$31</f>
        <v>1.044750430292599</v>
      </c>
      <c r="G47" s="6">
        <f>[1039]Tasas!$B$35</f>
        <v>0.90168776371308013</v>
      </c>
    </row>
    <row r="48" spans="2:7" ht="15" thickBot="1" x14ac:dyDescent="0.25">
      <c r="B48" s="5" t="s">
        <v>73</v>
      </c>
      <c r="C48" s="6">
        <f>[1040]Tasas!$B$36</f>
        <v>1.0222741039878849</v>
      </c>
      <c r="D48" s="6">
        <f>[1040]Tasas!$B$17</f>
        <v>1.0770138683977575</v>
      </c>
      <c r="E48" s="6">
        <f>[1040]Tasas!$B$28</f>
        <v>0.99291958041958039</v>
      </c>
      <c r="F48" s="6">
        <f>[1040]Tasas!$B$31</f>
        <v>1.2136563876651982</v>
      </c>
      <c r="G48" s="6">
        <f>[1040]Tasas!$B$35</f>
        <v>1.1345132743362831</v>
      </c>
    </row>
    <row r="49" spans="2:7" ht="15" thickBot="1" x14ac:dyDescent="0.25">
      <c r="B49" s="5" t="s">
        <v>74</v>
      </c>
      <c r="C49" s="6">
        <f>[1041]Tasas!$B$36</f>
        <v>1.0043037730903177</v>
      </c>
      <c r="D49" s="6">
        <f>[1041]Tasas!$B$17</f>
        <v>0.98068580112257653</v>
      </c>
      <c r="E49" s="6">
        <f>[1041]Tasas!$B$28</f>
        <v>1.0068378213070275</v>
      </c>
      <c r="F49" s="6">
        <f>[1041]Tasas!$B$31</f>
        <v>1.0820350535540408</v>
      </c>
      <c r="G49" s="6">
        <f>[1041]Tasas!$B$35</f>
        <v>0.98816101026045777</v>
      </c>
    </row>
    <row r="50" spans="2:7" ht="15" thickBot="1" x14ac:dyDescent="0.25">
      <c r="B50" s="5" t="s">
        <v>75</v>
      </c>
      <c r="C50" s="6">
        <f>[1042]Tasas!$B$36</f>
        <v>0.99913378248315687</v>
      </c>
      <c r="D50" s="6">
        <f>[1042]Tasas!$B$17</f>
        <v>1.0311371841155235</v>
      </c>
      <c r="E50" s="6">
        <f>[1042]Tasas!$B$28</f>
        <v>0.99973311982919666</v>
      </c>
      <c r="F50" s="6">
        <f>[1042]Tasas!$B$31</f>
        <v>0.78125</v>
      </c>
      <c r="G50" s="6">
        <f>[1042]Tasas!$B$35</f>
        <v>0.9211538461538461</v>
      </c>
    </row>
    <row r="51" spans="2:7" ht="15" thickBot="1" x14ac:dyDescent="0.25">
      <c r="B51" s="5" t="s">
        <v>76</v>
      </c>
      <c r="C51" s="6">
        <f>[1043]Tasas!$B$36</f>
        <v>0.97156311711985421</v>
      </c>
      <c r="D51" s="6">
        <f>[1043]Tasas!$B$17</f>
        <v>0.94489808639281925</v>
      </c>
      <c r="E51" s="6">
        <f>[1043]Tasas!$B$28</f>
        <v>0.9734527398474907</v>
      </c>
      <c r="F51" s="6">
        <f>[1043]Tasas!$B$31</f>
        <v>1.1022304832713754</v>
      </c>
      <c r="G51" s="6">
        <f>[1043]Tasas!$B$35</f>
        <v>1.0343627664201827</v>
      </c>
    </row>
    <row r="52" spans="2:7" ht="15" thickBot="1" x14ac:dyDescent="0.25">
      <c r="B52" s="5" t="s">
        <v>77</v>
      </c>
      <c r="C52" s="6">
        <f>[1044]Tasas!$B$36</f>
        <v>1.0215660866345797</v>
      </c>
      <c r="D52" s="6">
        <f>[1044]Tasas!$B$17</f>
        <v>0.95491043854231006</v>
      </c>
      <c r="E52" s="6">
        <f>[1044]Tasas!$B$28</f>
        <v>1.0468381311939594</v>
      </c>
      <c r="F52" s="6">
        <f>[1044]Tasas!$B$31</f>
        <v>1.139344262295082</v>
      </c>
      <c r="G52" s="6">
        <f>[1044]Tasas!$B$35</f>
        <v>0.81601362862010218</v>
      </c>
    </row>
    <row r="53" spans="2:7" ht="15" thickBot="1" x14ac:dyDescent="0.25">
      <c r="B53" s="5" t="s">
        <v>78</v>
      </c>
      <c r="C53" s="6">
        <f>[1045]Tasas!$B$36</f>
        <v>0.98361849970113568</v>
      </c>
      <c r="D53" s="6">
        <f>[1045]Tasas!$B$17</f>
        <v>1.0098543742472352</v>
      </c>
      <c r="E53" s="6">
        <f>[1045]Tasas!$B$28</f>
        <v>0.99426820832098028</v>
      </c>
      <c r="F53" s="6">
        <f>[1045]Tasas!$B$31</f>
        <v>0.80203515263644776</v>
      </c>
      <c r="G53" s="6">
        <f>[1045]Tasas!$B$35</f>
        <v>0.81693605059732954</v>
      </c>
    </row>
    <row r="54" spans="2:7" ht="15" thickBot="1" x14ac:dyDescent="0.25">
      <c r="B54" s="5" t="s">
        <v>79</v>
      </c>
      <c r="C54" s="6">
        <f>[1046]Tasas!$B$36</f>
        <v>0.96424790292369089</v>
      </c>
      <c r="D54" s="6">
        <f>[1046]Tasas!$B$17</f>
        <v>0.9490829319786237</v>
      </c>
      <c r="E54" s="6">
        <f>[1046]Tasas!$B$28</f>
        <v>0.97834922977883243</v>
      </c>
      <c r="F54" s="6">
        <f>[1046]Tasas!$B$31</f>
        <v>0.9987611496531219</v>
      </c>
      <c r="G54" s="6">
        <f>[1046]Tasas!$B$35</f>
        <v>0.72214976632974681</v>
      </c>
    </row>
    <row r="55" spans="2:7" ht="15" thickBot="1" x14ac:dyDescent="0.25">
      <c r="B55" s="5" t="s">
        <v>80</v>
      </c>
      <c r="C55" s="6">
        <f>[1047]Tasas!$B$36</f>
        <v>1.0063774453775944</v>
      </c>
      <c r="D55" s="6">
        <f>[1047]Tasas!$B$17</f>
        <v>0.97663224904898693</v>
      </c>
      <c r="E55" s="6">
        <f>[1047]Tasas!$B$28</f>
        <v>1.0136525795828759</v>
      </c>
      <c r="F55" s="6">
        <f>[1047]Tasas!$B$31</f>
        <v>1.2229232386961093</v>
      </c>
      <c r="G55" s="6">
        <f>[1047]Tasas!$B$35</f>
        <v>0.95621217515129941</v>
      </c>
    </row>
    <row r="56" spans="2:7" ht="15" thickBot="1" x14ac:dyDescent="0.25">
      <c r="B56" s="5" t="s">
        <v>81</v>
      </c>
      <c r="C56" s="6">
        <f>[1048]Tasas!$B$36</f>
        <v>1.0106347002065059</v>
      </c>
      <c r="D56" s="6">
        <f>[1048]Tasas!$B$17</f>
        <v>0.95772771792360434</v>
      </c>
      <c r="E56" s="6">
        <f>[1048]Tasas!$B$28</f>
        <v>1.0325457449060089</v>
      </c>
      <c r="F56" s="6">
        <f>[1048]Tasas!$B$31</f>
        <v>1.1167929292929293</v>
      </c>
      <c r="G56" s="6">
        <f>[1048]Tasas!$B$35</f>
        <v>0.87241292276627969</v>
      </c>
    </row>
    <row r="57" spans="2:7" ht="15" thickBot="1" x14ac:dyDescent="0.25">
      <c r="B57" s="5" t="s">
        <v>82</v>
      </c>
      <c r="C57" s="6">
        <f>[1049]Tasas!$B$36</f>
        <v>0.97802082237879906</v>
      </c>
      <c r="D57" s="6">
        <f>[1049]Tasas!$B$17</f>
        <v>0.92657752756274925</v>
      </c>
      <c r="E57" s="6">
        <f>[1049]Tasas!$B$28</f>
        <v>1.0480642917857972</v>
      </c>
      <c r="F57" s="6">
        <f>[1049]Tasas!$B$31</f>
        <v>0.91007194244604317</v>
      </c>
      <c r="G57" s="6">
        <f>[1049]Tasas!$B$35</f>
        <v>0.54296875</v>
      </c>
    </row>
    <row r="58" spans="2:7" ht="15" thickBot="1" x14ac:dyDescent="0.25">
      <c r="B58" s="5" t="s">
        <v>83</v>
      </c>
      <c r="C58" s="6">
        <f>[1050]Tasas!$B$36</f>
        <v>0.95123653769445549</v>
      </c>
      <c r="D58" s="6">
        <f>[1050]Tasas!$B$17</f>
        <v>1.0186821630967247</v>
      </c>
      <c r="E58" s="6">
        <f>[1050]Tasas!$B$28</f>
        <v>1.007961396484488</v>
      </c>
      <c r="F58" s="6">
        <f>[1050]Tasas!$B$31</f>
        <v>0.9309749784296808</v>
      </c>
      <c r="G58" s="6">
        <f>[1050]Tasas!$B$35</f>
        <v>0.42494555201876361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0D37B-97C5-4F01-B233-737880EDD8B2}">
  <dimension ref="B7:G58"/>
  <sheetViews>
    <sheetView workbookViewId="0">
      <selection activeCell="A2" sqref="A2"/>
    </sheetView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f>[1051]Tasas!$B$36</f>
        <v>1.0258764892636465</v>
      </c>
      <c r="D9" s="6">
        <f>[1051]Tasas!$B$17</f>
        <v>1.0518887505188874</v>
      </c>
      <c r="E9" s="6">
        <f>[1051]Tasas!$B$28</f>
        <v>1.0251125521457189</v>
      </c>
      <c r="F9" s="6">
        <f>[1051]Tasas!$B$31</f>
        <v>0.96979865771812079</v>
      </c>
      <c r="G9" s="6">
        <f>[1051]Tasas!$B$35</f>
        <v>1.029229904440697</v>
      </c>
    </row>
    <row r="10" spans="2:7" s="8" customFormat="1" ht="20.100000000000001" customHeight="1" thickBot="1" x14ac:dyDescent="0.25">
      <c r="B10" s="5" t="s">
        <v>40</v>
      </c>
      <c r="C10" s="6">
        <f>[1052]Tasas!$B$36</f>
        <v>0.99313964970635626</v>
      </c>
      <c r="D10" s="6">
        <f>[1052]Tasas!$B$17</f>
        <v>0.99706246134817567</v>
      </c>
      <c r="E10" s="6">
        <f>[1052]Tasas!$B$28</f>
        <v>0.987140902872777</v>
      </c>
      <c r="F10" s="6">
        <f>[1052]Tasas!$B$31</f>
        <v>1.0077262693156732</v>
      </c>
      <c r="G10" s="6">
        <f>[1052]Tasas!$B$35</f>
        <v>1.0663811563169165</v>
      </c>
    </row>
    <row r="11" spans="2:7" s="8" customFormat="1" ht="20.100000000000001" customHeight="1" thickBot="1" x14ac:dyDescent="0.25">
      <c r="B11" s="5" t="s">
        <v>41</v>
      </c>
      <c r="C11" s="6">
        <f>[1053]Tasas!$B$36</f>
        <v>0.98249227277571927</v>
      </c>
      <c r="D11" s="6">
        <f>[1053]Tasas!$B$17</f>
        <v>1.0332809837270691</v>
      </c>
      <c r="E11" s="6">
        <f>[1053]Tasas!$B$28</f>
        <v>0.97869819951616011</v>
      </c>
      <c r="F11" s="6">
        <f>[1053]Tasas!$B$31</f>
        <v>0.91437308868501532</v>
      </c>
      <c r="G11" s="6">
        <f>[1053]Tasas!$B$35</f>
        <v>0.93441938178780282</v>
      </c>
    </row>
    <row r="12" spans="2:7" s="8" customFormat="1" ht="20.100000000000001" customHeight="1" thickBot="1" x14ac:dyDescent="0.25">
      <c r="B12" s="5" t="s">
        <v>42</v>
      </c>
      <c r="C12" s="6">
        <f>[1054]Tasas!$B$36</f>
        <v>0.95103856035825951</v>
      </c>
      <c r="D12" s="6">
        <f>[1054]Tasas!$B$17</f>
        <v>1.0339890822947782</v>
      </c>
      <c r="E12" s="6">
        <f>[1054]Tasas!$B$28</f>
        <v>0.91248411497730708</v>
      </c>
      <c r="F12" s="6">
        <f>[1054]Tasas!$B$31</f>
        <v>2.6839557399723373</v>
      </c>
      <c r="G12" s="6">
        <f>[1054]Tasas!$B$35</f>
        <v>0.91094797318863707</v>
      </c>
    </row>
    <row r="13" spans="2:7" s="8" customFormat="1" ht="20.100000000000001" customHeight="1" thickBot="1" x14ac:dyDescent="0.25">
      <c r="B13" s="5" t="s">
        <v>43</v>
      </c>
      <c r="C13" s="6">
        <f>[1055]Tasas!$B$36</f>
        <v>1.0098684210526316</v>
      </c>
      <c r="D13" s="6">
        <f>[1055]Tasas!$B$17</f>
        <v>1.0111524163568772</v>
      </c>
      <c r="E13" s="6">
        <f>[1055]Tasas!$B$28</f>
        <v>1.0165054574496406</v>
      </c>
      <c r="F13" s="6">
        <f>[1055]Tasas!$B$31</f>
        <v>0.77777777777777779</v>
      </c>
      <c r="G13" s="6">
        <f>[1055]Tasas!$B$35</f>
        <v>0.97175141242937857</v>
      </c>
    </row>
    <row r="14" spans="2:7" s="8" customFormat="1" ht="20.100000000000001" customHeight="1" thickBot="1" x14ac:dyDescent="0.25">
      <c r="B14" s="5" t="s">
        <v>44</v>
      </c>
      <c r="C14" s="6">
        <f>[1056]Tasas!$B$36</f>
        <v>0.99648289809197221</v>
      </c>
      <c r="D14" s="6">
        <f>[1056]Tasas!$B$17</f>
        <v>0.98520770010131709</v>
      </c>
      <c r="E14" s="6">
        <f>[1056]Tasas!$B$28</f>
        <v>1.0181730246055256</v>
      </c>
      <c r="F14" s="6">
        <f>[1056]Tasas!$B$31</f>
        <v>0.73695345557122705</v>
      </c>
      <c r="G14" s="6">
        <f>[1056]Tasas!$B$35</f>
        <v>0.62933799941673962</v>
      </c>
    </row>
    <row r="15" spans="2:7" s="8" customFormat="1" ht="20.100000000000001" customHeight="1" thickBot="1" x14ac:dyDescent="0.25">
      <c r="B15" s="5" t="s">
        <v>45</v>
      </c>
      <c r="C15" s="6">
        <f>[1057]Tasas!$B$36</f>
        <v>0.99344161013223709</v>
      </c>
      <c r="D15" s="6">
        <f>[1057]Tasas!$B$17</f>
        <v>0.91500576511283149</v>
      </c>
      <c r="E15" s="6">
        <f>[1057]Tasas!$B$28</f>
        <v>1.0012447940461766</v>
      </c>
      <c r="F15" s="6">
        <f>[1057]Tasas!$B$31</f>
        <v>1.0908096280087527</v>
      </c>
      <c r="G15" s="6">
        <f>[1057]Tasas!$B$35</f>
        <v>0.9192751235584844</v>
      </c>
    </row>
    <row r="16" spans="2:7" s="8" customFormat="1" ht="20.100000000000001" customHeight="1" thickBot="1" x14ac:dyDescent="0.25">
      <c r="B16" s="5" t="s">
        <v>46</v>
      </c>
      <c r="C16" s="6">
        <f>[1058]Tasas!$B$36</f>
        <v>1.0083582403495084</v>
      </c>
      <c r="D16" s="6">
        <f>[1058]Tasas!$B$17</f>
        <v>0.99430527036276528</v>
      </c>
      <c r="E16" s="6">
        <f>[1058]Tasas!$B$28</f>
        <v>1.0104191679992915</v>
      </c>
      <c r="F16" s="6">
        <f>[1058]Tasas!$B$31</f>
        <v>0.95588038085020788</v>
      </c>
      <c r="G16" s="6">
        <f>[1058]Tasas!$B$35</f>
        <v>1.0141413579044067</v>
      </c>
    </row>
    <row r="17" spans="2:7" s="8" customFormat="1" ht="20.100000000000001" customHeight="1" thickBot="1" x14ac:dyDescent="0.25">
      <c r="B17" s="5" t="s">
        <v>47</v>
      </c>
      <c r="C17" s="6">
        <f>[1059]Tasas!$B$36</f>
        <v>1.0135481343058654</v>
      </c>
      <c r="D17" s="6">
        <f>[1059]Tasas!$B$17</f>
        <v>1.0524469950581858</v>
      </c>
      <c r="E17" s="6">
        <f>[1059]Tasas!$B$28</f>
        <v>1.0190393427081688</v>
      </c>
      <c r="F17" s="6">
        <f>[1059]Tasas!$B$31</f>
        <v>0.94830371567043614</v>
      </c>
      <c r="G17" s="6">
        <f>[1059]Tasas!$B$35</f>
        <v>0.72997264556467367</v>
      </c>
    </row>
    <row r="18" spans="2:7" s="8" customFormat="1" ht="20.100000000000001" customHeight="1" thickBot="1" x14ac:dyDescent="0.25">
      <c r="B18" s="5" t="s">
        <v>48</v>
      </c>
      <c r="C18" s="6">
        <f>[1060]Tasas!$B$36</f>
        <v>0.97831436065219157</v>
      </c>
      <c r="D18" s="6">
        <f>[1060]Tasas!$B$17</f>
        <v>0.98292162244586767</v>
      </c>
      <c r="E18" s="6">
        <f>[1060]Tasas!$B$28</f>
        <v>1.0115253016387538</v>
      </c>
      <c r="F18" s="6">
        <f>[1060]Tasas!$B$31</f>
        <v>0.8883928571428571</v>
      </c>
      <c r="G18" s="6">
        <f>[1060]Tasas!$B$35</f>
        <v>0.52967806841046272</v>
      </c>
    </row>
    <row r="19" spans="2:7" s="8" customFormat="1" ht="20.100000000000001" customHeight="1" thickBot="1" x14ac:dyDescent="0.25">
      <c r="B19" s="5" t="s">
        <v>49</v>
      </c>
      <c r="C19" s="6">
        <f>[1061]Tasas!$B$36</f>
        <v>0.98751468054046343</v>
      </c>
      <c r="D19" s="6">
        <f>[1061]Tasas!$B$17</f>
        <v>1.0001818181818183</v>
      </c>
      <c r="E19" s="6">
        <f>[1061]Tasas!$B$28</f>
        <v>0.99566210648637232</v>
      </c>
      <c r="F19" s="6">
        <f>[1061]Tasas!$B$31</f>
        <v>0.99176954732510292</v>
      </c>
      <c r="G19" s="6">
        <f>[1061]Tasas!$B$35</f>
        <v>0.73705834018077243</v>
      </c>
    </row>
    <row r="20" spans="2:7" s="8" customFormat="1" ht="20.100000000000001" customHeight="1" thickBot="1" x14ac:dyDescent="0.25">
      <c r="B20" s="5" t="s">
        <v>50</v>
      </c>
      <c r="C20" s="6">
        <f>[1062]Tasas!$B$36</f>
        <v>0.97941451339951002</v>
      </c>
      <c r="D20" s="6">
        <f>[1062]Tasas!$B$17</f>
        <v>1.0511998345055855</v>
      </c>
      <c r="E20" s="6">
        <f>[1062]Tasas!$B$28</f>
        <v>0.97410481599204612</v>
      </c>
      <c r="F20" s="6">
        <f>[1062]Tasas!$B$31</f>
        <v>0.78813559322033899</v>
      </c>
      <c r="G20" s="6">
        <f>[1062]Tasas!$B$35</f>
        <v>0.89434585224927776</v>
      </c>
    </row>
    <row r="21" spans="2:7" s="8" customFormat="1" ht="20.100000000000001" customHeight="1" thickBot="1" x14ac:dyDescent="0.25">
      <c r="B21" s="5" t="s">
        <v>51</v>
      </c>
      <c r="C21" s="6">
        <f>[1063]Tasas!$B$36</f>
        <v>1.0360884315699213</v>
      </c>
      <c r="D21" s="6">
        <f>[1063]Tasas!$B$17</f>
        <v>1.0490405117270789</v>
      </c>
      <c r="E21" s="6">
        <f>[1063]Tasas!$B$28</f>
        <v>1.0319867286618847</v>
      </c>
      <c r="F21" s="6">
        <f>[1063]Tasas!$B$31</f>
        <v>0.98865478119935168</v>
      </c>
      <c r="G21" s="6">
        <f>[1063]Tasas!$B$35</f>
        <v>1.0810810810810811</v>
      </c>
    </row>
    <row r="22" spans="2:7" s="8" customFormat="1" ht="15" thickBot="1" x14ac:dyDescent="0.25">
      <c r="B22" s="5" t="s">
        <v>52</v>
      </c>
      <c r="C22" s="6">
        <f>[1064]Tasas!$B$36</f>
        <v>0.98393923170941122</v>
      </c>
      <c r="D22" s="6">
        <f>[1064]Tasas!$B$17</f>
        <v>0.9668831168831169</v>
      </c>
      <c r="E22" s="6">
        <f>[1064]Tasas!$B$28</f>
        <v>1.0040218017671918</v>
      </c>
      <c r="F22" s="6">
        <f>[1064]Tasas!$B$31</f>
        <v>0.93390287769784175</v>
      </c>
      <c r="G22" s="6">
        <f>[1064]Tasas!$B$35</f>
        <v>0.65274828969096488</v>
      </c>
    </row>
    <row r="23" spans="2:7" s="8" customFormat="1" ht="20.100000000000001" customHeight="1" thickBot="1" x14ac:dyDescent="0.25">
      <c r="B23" s="5" t="s">
        <v>53</v>
      </c>
      <c r="C23" s="6">
        <f>[1065]Tasas!$B$36</f>
        <v>0.98115595075239403</v>
      </c>
      <c r="D23" s="6">
        <f>[1065]Tasas!$B$17</f>
        <v>0.99081797995559018</v>
      </c>
      <c r="E23" s="6">
        <f>[1065]Tasas!$B$28</f>
        <v>0.98019801980198018</v>
      </c>
      <c r="F23" s="6">
        <f>[1065]Tasas!$B$31</f>
        <v>1.0124023886081763</v>
      </c>
      <c r="G23" s="6">
        <f>[1065]Tasas!$B$35</f>
        <v>0.96095753776004555</v>
      </c>
    </row>
    <row r="24" spans="2:7" s="8" customFormat="1" ht="20.100000000000001" customHeight="1" thickBot="1" x14ac:dyDescent="0.25">
      <c r="B24" s="5" t="s">
        <v>54</v>
      </c>
      <c r="C24" s="6">
        <f>[1066]Tasas!$B$36</f>
        <v>1.0016485497913554</v>
      </c>
      <c r="D24" s="6">
        <f>[1066]Tasas!$B$17</f>
        <v>1.0743682310469314</v>
      </c>
      <c r="E24" s="6">
        <f>[1066]Tasas!$B$28</f>
        <v>0.99691774224619534</v>
      </c>
      <c r="F24" s="6">
        <f>[1066]Tasas!$B$31</f>
        <v>0.92138364779874216</v>
      </c>
      <c r="G24" s="6">
        <f>[1066]Tasas!$B$35</f>
        <v>0.86533333333333329</v>
      </c>
    </row>
    <row r="25" spans="2:7" s="8" customFormat="1" ht="20.100000000000001" customHeight="1" thickBot="1" x14ac:dyDescent="0.25">
      <c r="B25" s="5" t="s">
        <v>55</v>
      </c>
      <c r="C25" s="6">
        <f>[1067]Tasas!$B$36</f>
        <v>0.98234943781696116</v>
      </c>
      <c r="D25" s="6">
        <f>[1067]Tasas!$B$17</f>
        <v>1.0677128489682677</v>
      </c>
      <c r="E25" s="6">
        <f>[1067]Tasas!$B$28</f>
        <v>0.97248269122814313</v>
      </c>
      <c r="F25" s="6">
        <f>[1067]Tasas!$B$31</f>
        <v>1.0300751879699248</v>
      </c>
      <c r="G25" s="6">
        <f>[1067]Tasas!$B$35</f>
        <v>0.95026178010471207</v>
      </c>
    </row>
    <row r="26" spans="2:7" s="8" customFormat="1" ht="20.100000000000001" customHeight="1" thickBot="1" x14ac:dyDescent="0.25">
      <c r="B26" s="5" t="s">
        <v>56</v>
      </c>
      <c r="C26" s="6">
        <f>[1068]Tasas!$B$36</f>
        <v>0.99081380663947816</v>
      </c>
      <c r="D26" s="6">
        <f>[1068]Tasas!$B$17</f>
        <v>0.96460905349794235</v>
      </c>
      <c r="E26" s="6">
        <f>[1068]Tasas!$B$28</f>
        <v>1.00276911445043</v>
      </c>
      <c r="F26" s="6">
        <f>[1068]Tasas!$B$31</f>
        <v>0.95833333333333337</v>
      </c>
      <c r="G26" s="6">
        <f>[1068]Tasas!$B$35</f>
        <v>0.85736174954729072</v>
      </c>
    </row>
    <row r="27" spans="2:7" ht="15" thickBot="1" x14ac:dyDescent="0.25">
      <c r="B27" s="5" t="s">
        <v>57</v>
      </c>
      <c r="C27" s="6">
        <f>[1069]Tasas!$B$36</f>
        <v>1.0285021224984838</v>
      </c>
      <c r="D27" s="6">
        <f>[1069]Tasas!$B$17</f>
        <v>1.0286081645773064</v>
      </c>
      <c r="E27" s="6">
        <f>[1069]Tasas!$B$28</f>
        <v>1.0410902454818391</v>
      </c>
      <c r="F27" s="6">
        <f>[1069]Tasas!$B$31</f>
        <v>1.0229508196721311</v>
      </c>
      <c r="G27" s="6">
        <f>[1069]Tasas!$B$35</f>
        <v>0.82301740812379109</v>
      </c>
    </row>
    <row r="28" spans="2:7" ht="15" thickBot="1" x14ac:dyDescent="0.25">
      <c r="B28" s="5" t="s">
        <v>58</v>
      </c>
      <c r="C28" s="6">
        <f>[1070]Tasas!$B$36</f>
        <v>1.0252125476399883</v>
      </c>
      <c r="D28" s="6">
        <f>[1070]Tasas!$B$17</f>
        <v>1.0863636363636364</v>
      </c>
      <c r="E28" s="6">
        <f>[1070]Tasas!$B$28</f>
        <v>1.0226657306187945</v>
      </c>
      <c r="F28" s="6">
        <f>[1070]Tasas!$B$31</f>
        <v>0.95407407407407407</v>
      </c>
      <c r="G28" s="6">
        <f>[1070]Tasas!$B$35</f>
        <v>0.95066518847006654</v>
      </c>
    </row>
    <row r="29" spans="2:7" ht="15" thickBot="1" x14ac:dyDescent="0.25">
      <c r="B29" s="5" t="s">
        <v>59</v>
      </c>
      <c r="C29" s="6">
        <f>[1071]Tasas!$B$36</f>
        <v>1.0227055687794866</v>
      </c>
      <c r="D29" s="6">
        <f>[1071]Tasas!$B$17</f>
        <v>1.074604457789583</v>
      </c>
      <c r="E29" s="6">
        <f>[1071]Tasas!$B$28</f>
        <v>1.0262692512404925</v>
      </c>
      <c r="F29" s="6">
        <f>[1071]Tasas!$B$31</f>
        <v>0.91463414634146345</v>
      </c>
      <c r="G29" s="6">
        <f>[1071]Tasas!$B$35</f>
        <v>0.77003319108582269</v>
      </c>
    </row>
    <row r="30" spans="2:7" ht="15" thickBot="1" x14ac:dyDescent="0.25">
      <c r="B30" s="5" t="s">
        <v>60</v>
      </c>
      <c r="C30" s="6">
        <f>[1072]Tasas!$B$36</f>
        <v>0.99424497071555895</v>
      </c>
      <c r="D30" s="6">
        <f>[1072]Tasas!$B$17</f>
        <v>1.0719424460431655</v>
      </c>
      <c r="E30" s="6">
        <f>[1072]Tasas!$B$28</f>
        <v>0.97209332723351416</v>
      </c>
      <c r="F30" s="6">
        <f>[1072]Tasas!$B$31</f>
        <v>1.253393665158371</v>
      </c>
      <c r="G30" s="6">
        <f>[1072]Tasas!$B$35</f>
        <v>0.99599198396793587</v>
      </c>
    </row>
    <row r="31" spans="2:7" ht="15" thickBot="1" x14ac:dyDescent="0.25">
      <c r="B31" s="5" t="s">
        <v>61</v>
      </c>
      <c r="C31" s="6">
        <f>[1073]Tasas!$B$36</f>
        <v>1.0220896580237435</v>
      </c>
      <c r="D31" s="6">
        <f>[1073]Tasas!$B$17</f>
        <v>1.0523623753792803</v>
      </c>
      <c r="E31" s="6">
        <f>[1073]Tasas!$B$28</f>
        <v>1.0094117199680572</v>
      </c>
      <c r="F31" s="6">
        <f>[1073]Tasas!$B$31</f>
        <v>1.0309477756286267</v>
      </c>
      <c r="G31" s="6">
        <f>[1073]Tasas!$B$35</f>
        <v>1.1425224521671222</v>
      </c>
    </row>
    <row r="32" spans="2:7" ht="15" thickBot="1" x14ac:dyDescent="0.25">
      <c r="B32" s="5" t="s">
        <v>62</v>
      </c>
      <c r="C32" s="6">
        <f>[1074]Tasas!$B$36</f>
        <v>1.0056666666666667</v>
      </c>
      <c r="D32" s="6">
        <f>[1074]Tasas!$B$17</f>
        <v>1.0952513966480446</v>
      </c>
      <c r="E32" s="6">
        <f>[1074]Tasas!$B$28</f>
        <v>0.99665674937889148</v>
      </c>
      <c r="F32" s="6">
        <f>[1074]Tasas!$B$31</f>
        <v>0.69093231162196678</v>
      </c>
      <c r="G32" s="6">
        <f>[1074]Tasas!$B$35</f>
        <v>0.89674754775425913</v>
      </c>
    </row>
    <row r="33" spans="2:7" ht="15" thickBot="1" x14ac:dyDescent="0.25">
      <c r="B33" s="5" t="s">
        <v>63</v>
      </c>
      <c r="C33" s="6">
        <f>[1075]Tasas!$B$36</f>
        <v>0.98316170000237824</v>
      </c>
      <c r="D33" s="6">
        <f>[1075]Tasas!$B$17</f>
        <v>1.058988326848249</v>
      </c>
      <c r="E33" s="6">
        <f>[1075]Tasas!$B$28</f>
        <v>0.97873771642489471</v>
      </c>
      <c r="F33" s="6">
        <f>[1075]Tasas!$B$31</f>
        <v>0.91006423982869378</v>
      </c>
      <c r="G33" s="6">
        <f>[1075]Tasas!$B$35</f>
        <v>0.66978193146417442</v>
      </c>
    </row>
    <row r="34" spans="2:7" ht="15" thickBot="1" x14ac:dyDescent="0.25">
      <c r="B34" s="5" t="s">
        <v>64</v>
      </c>
      <c r="C34" s="6">
        <f>[1076]Tasas!$B$36</f>
        <v>1.0035135799866484</v>
      </c>
      <c r="D34" s="6">
        <f>[1076]Tasas!$B$17</f>
        <v>1.1013089474627935</v>
      </c>
      <c r="E34" s="6">
        <f>[1076]Tasas!$B$28</f>
        <v>0.98163518412516693</v>
      </c>
      <c r="F34" s="6">
        <f>[1076]Tasas!$B$31</f>
        <v>1.043222003929273</v>
      </c>
      <c r="G34" s="6">
        <f>[1076]Tasas!$B$35</f>
        <v>0.92771084337349397</v>
      </c>
    </row>
    <row r="35" spans="2:7" ht="15" thickBot="1" x14ac:dyDescent="0.25">
      <c r="B35" s="5" t="s">
        <v>65</v>
      </c>
      <c r="C35" s="6">
        <f>[1077]Tasas!$B$36</f>
        <v>1.0531714331362838</v>
      </c>
      <c r="D35" s="6">
        <f>[1077]Tasas!$B$17</f>
        <v>1.0717612809315866</v>
      </c>
      <c r="E35" s="6">
        <f>[1077]Tasas!$B$28</f>
        <v>1.039983145278337</v>
      </c>
      <c r="F35" s="6">
        <f>[1077]Tasas!$B$31</f>
        <v>1.0703703703703704</v>
      </c>
      <c r="G35" s="6">
        <f>[1077]Tasas!$B$35</f>
        <v>1.1104513064133017</v>
      </c>
    </row>
    <row r="36" spans="2:7" ht="15" thickBot="1" x14ac:dyDescent="0.25">
      <c r="B36" s="5" t="s">
        <v>32</v>
      </c>
      <c r="C36" s="6">
        <f>[1078]Tasas!$B$36</f>
        <v>1.0047769601413759</v>
      </c>
      <c r="D36" s="6">
        <f>[1078]Tasas!$B$17</f>
        <v>1.0431261828674259</v>
      </c>
      <c r="E36" s="6">
        <f>[1078]Tasas!$B$28</f>
        <v>1.0029684127737759</v>
      </c>
      <c r="F36" s="6">
        <f>[1078]Tasas!$B$31</f>
        <v>1.0783733421023787</v>
      </c>
      <c r="G36" s="6">
        <f>[1078]Tasas!$B$35</f>
        <v>0.9546073536087154</v>
      </c>
    </row>
    <row r="37" spans="2:7" ht="15" thickBot="1" x14ac:dyDescent="0.25">
      <c r="B37" s="5" t="s">
        <v>66</v>
      </c>
      <c r="C37" s="6">
        <f>[1079]Tasas!$B$36</f>
        <v>0.98961743549784553</v>
      </c>
      <c r="D37" s="6">
        <f>[1079]Tasas!$B$17</f>
        <v>0.97552122526669915</v>
      </c>
      <c r="E37" s="6">
        <f>[1079]Tasas!$B$28</f>
        <v>0.99884258127198688</v>
      </c>
      <c r="F37" s="6">
        <f>[1079]Tasas!$B$31</f>
        <v>0.94050679397723103</v>
      </c>
      <c r="G37" s="6">
        <f>[1079]Tasas!$B$35</f>
        <v>0.79002602636218622</v>
      </c>
    </row>
    <row r="38" spans="2:7" ht="15" thickBot="1" x14ac:dyDescent="0.25">
      <c r="B38" s="5" t="s">
        <v>33</v>
      </c>
      <c r="C38" s="6">
        <f>[1080]Tasas!$B$36</f>
        <v>0.97430910887474909</v>
      </c>
      <c r="D38" s="6">
        <f>[1080]Tasas!$B$17</f>
        <v>1.0140041149532091</v>
      </c>
      <c r="E38" s="6">
        <f>[1080]Tasas!$B$28</f>
        <v>0.98654636576160859</v>
      </c>
      <c r="F38" s="6">
        <f>[1080]Tasas!$B$31</f>
        <v>0.88427518427518426</v>
      </c>
      <c r="G38" s="6">
        <f>[1080]Tasas!$B$35</f>
        <v>0.76732896816437124</v>
      </c>
    </row>
    <row r="39" spans="2:7" ht="15" thickBot="1" x14ac:dyDescent="0.25">
      <c r="B39" s="5" t="s">
        <v>34</v>
      </c>
      <c r="C39" s="6">
        <f>[1081]Tasas!$B$36</f>
        <v>0.99140010895789554</v>
      </c>
      <c r="D39" s="6">
        <f>[1081]Tasas!$B$17</f>
        <v>1.0862863217576186</v>
      </c>
      <c r="E39" s="6">
        <f>[1081]Tasas!$B$28</f>
        <v>0.98121755545068423</v>
      </c>
      <c r="F39" s="6">
        <f>[1081]Tasas!$B$31</f>
        <v>1.064888888888889</v>
      </c>
      <c r="G39" s="6">
        <f>[1081]Tasas!$B$35</f>
        <v>0.90832220738762792</v>
      </c>
    </row>
    <row r="40" spans="2:7" ht="15" thickBot="1" x14ac:dyDescent="0.25">
      <c r="B40" s="5" t="s">
        <v>67</v>
      </c>
      <c r="C40" s="6">
        <f>[1082]Tasas!$B$36</f>
        <v>1.0078655909314362</v>
      </c>
      <c r="D40" s="6">
        <f>[1082]Tasas!$B$17</f>
        <v>1.0787044281020184</v>
      </c>
      <c r="E40" s="6">
        <f>[1082]Tasas!$B$28</f>
        <v>0.98776695851403318</v>
      </c>
      <c r="F40" s="6">
        <f>[1082]Tasas!$B$31</f>
        <v>1.1069444444444445</v>
      </c>
      <c r="G40" s="6">
        <f>[1082]Tasas!$B$35</f>
        <v>0.99702774108322323</v>
      </c>
    </row>
    <row r="41" spans="2:7" ht="15" thickBot="1" x14ac:dyDescent="0.25">
      <c r="B41" s="5" t="s">
        <v>31</v>
      </c>
      <c r="C41" s="6">
        <f>[1083]Tasas!$B$36</f>
        <v>1.0097133126115998</v>
      </c>
      <c r="D41" s="6">
        <f>[1083]Tasas!$B$17</f>
        <v>1.0482263701940953</v>
      </c>
      <c r="E41" s="6">
        <f>[1083]Tasas!$B$28</f>
        <v>1.0115420300612359</v>
      </c>
      <c r="F41" s="6">
        <f>[1083]Tasas!$B$31</f>
        <v>1.1058225508317929</v>
      </c>
      <c r="G41" s="6">
        <f>[1083]Tasas!$B$35</f>
        <v>0.88406320541760719</v>
      </c>
    </row>
    <row r="42" spans="2:7" ht="15" thickBot="1" x14ac:dyDescent="0.25">
      <c r="B42" s="5" t="s">
        <v>68</v>
      </c>
      <c r="C42" s="6">
        <f>[1084]Tasas!$B$36</f>
        <v>1.0155363865986751</v>
      </c>
      <c r="D42" s="6">
        <f>[1084]Tasas!$B$17</f>
        <v>1.0582750582750582</v>
      </c>
      <c r="E42" s="6">
        <f>[1084]Tasas!$B$28</f>
        <v>1.0202595758151314</v>
      </c>
      <c r="F42" s="6">
        <f>[1084]Tasas!$B$31</f>
        <v>1.1055276381909547</v>
      </c>
      <c r="G42" s="6">
        <f>[1084]Tasas!$B$35</f>
        <v>0.78723404255319152</v>
      </c>
    </row>
    <row r="43" spans="2:7" ht="15" thickBot="1" x14ac:dyDescent="0.25">
      <c r="B43" s="5" t="s">
        <v>69</v>
      </c>
      <c r="C43" s="6">
        <f>[1085]Tasas!$B$36</f>
        <v>1.0033554530798936</v>
      </c>
      <c r="D43" s="6">
        <f>[1085]Tasas!$B$17</f>
        <v>1.0062896885394617</v>
      </c>
      <c r="E43" s="6">
        <f>[1085]Tasas!$B$28</f>
        <v>0.99711504331211154</v>
      </c>
      <c r="F43" s="6">
        <f>[1085]Tasas!$B$31</f>
        <v>0.98480371464753058</v>
      </c>
      <c r="G43" s="6">
        <f>[1085]Tasas!$B$35</f>
        <v>1.0975581795253926</v>
      </c>
    </row>
    <row r="44" spans="2:7" ht="15" thickBot="1" x14ac:dyDescent="0.25">
      <c r="B44" s="5" t="s">
        <v>70</v>
      </c>
      <c r="C44" s="6">
        <f>[1086]Tasas!$B$36</f>
        <v>1.018424577206265</v>
      </c>
      <c r="D44" s="6">
        <f>[1086]Tasas!$B$17</f>
        <v>1.0693035604874397</v>
      </c>
      <c r="E44" s="6">
        <f>[1086]Tasas!$B$28</f>
        <v>1.0125537842694405</v>
      </c>
      <c r="F44" s="6">
        <f>[1086]Tasas!$B$31</f>
        <v>1.0205819730305181</v>
      </c>
      <c r="G44" s="6">
        <f>[1086]Tasas!$B$35</f>
        <v>1.012715033657442</v>
      </c>
    </row>
    <row r="45" spans="2:7" ht="15" thickBot="1" x14ac:dyDescent="0.25">
      <c r="B45" s="5" t="s">
        <v>71</v>
      </c>
      <c r="C45" s="6">
        <f>[1087]Tasas!$B$36</f>
        <v>1.0106550591502657</v>
      </c>
      <c r="D45" s="6">
        <f>[1087]Tasas!$B$17</f>
        <v>1.0428921568627452</v>
      </c>
      <c r="E45" s="6">
        <f>[1087]Tasas!$B$28</f>
        <v>1.0057079661803003</v>
      </c>
      <c r="F45" s="6">
        <f>[1087]Tasas!$B$31</f>
        <v>1.0795660036166366</v>
      </c>
      <c r="G45" s="6">
        <f>[1087]Tasas!$B$35</f>
        <v>0.92100065832784728</v>
      </c>
    </row>
    <row r="46" spans="2:7" ht="15" thickBot="1" x14ac:dyDescent="0.25">
      <c r="B46" s="5" t="s">
        <v>72</v>
      </c>
      <c r="C46" s="6">
        <f>[1088]Tasas!$B$36</f>
        <v>0.94576194184839046</v>
      </c>
      <c r="D46" s="6">
        <f>[1088]Tasas!$B$17</f>
        <v>0.94388261851015798</v>
      </c>
      <c r="E46" s="6">
        <f>[1088]Tasas!$B$28</f>
        <v>0.95562094786956631</v>
      </c>
      <c r="F46" s="6">
        <f>[1088]Tasas!$B$31</f>
        <v>0.99112426035502954</v>
      </c>
      <c r="G46" s="6">
        <f>[1088]Tasas!$B$35</f>
        <v>0.70333912372128937</v>
      </c>
    </row>
    <row r="47" spans="2:7" ht="15" thickBot="1" x14ac:dyDescent="0.25">
      <c r="B47" s="5" t="s">
        <v>5</v>
      </c>
      <c r="C47" s="6">
        <f>[1089]Tasas!$B$36</f>
        <v>1.0207891563760343</v>
      </c>
      <c r="D47" s="6">
        <f>[1089]Tasas!$B$17</f>
        <v>1.1048353480616924</v>
      </c>
      <c r="E47" s="6">
        <f>[1089]Tasas!$B$28</f>
        <v>1.0086339985133512</v>
      </c>
      <c r="F47" s="6">
        <f>[1089]Tasas!$B$31</f>
        <v>1</v>
      </c>
      <c r="G47" s="6">
        <f>[1089]Tasas!$B$35</f>
        <v>0.88843274571359576</v>
      </c>
    </row>
    <row r="48" spans="2:7" ht="15" thickBot="1" x14ac:dyDescent="0.25">
      <c r="B48" s="5" t="s">
        <v>73</v>
      </c>
      <c r="C48" s="6">
        <f>[1090]Tasas!$B$36</f>
        <v>1.0129949238578679</v>
      </c>
      <c r="D48" s="6">
        <f>[1090]Tasas!$B$17</f>
        <v>1.1199456337071017</v>
      </c>
      <c r="E48" s="6">
        <f>[1090]Tasas!$B$28</f>
        <v>0.99392011972687311</v>
      </c>
      <c r="F48" s="6">
        <f>[1090]Tasas!$B$31</f>
        <v>0.94594594594594594</v>
      </c>
      <c r="G48" s="6">
        <f>[1090]Tasas!$B$35</f>
        <v>0.89918256130790186</v>
      </c>
    </row>
    <row r="49" spans="2:7" ht="15" thickBot="1" x14ac:dyDescent="0.25">
      <c r="B49" s="5" t="s">
        <v>74</v>
      </c>
      <c r="C49" s="6">
        <f>[1091]Tasas!$B$36</f>
        <v>1.0138882639670042</v>
      </c>
      <c r="D49" s="6">
        <f>[1091]Tasas!$B$17</f>
        <v>1.0752285951787199</v>
      </c>
      <c r="E49" s="6">
        <f>[1091]Tasas!$B$28</f>
        <v>1.0100075784903251</v>
      </c>
      <c r="F49" s="6">
        <f>[1091]Tasas!$B$31</f>
        <v>1.0720823798627002</v>
      </c>
      <c r="G49" s="6">
        <f>[1091]Tasas!$B$35</f>
        <v>0.99572274621627554</v>
      </c>
    </row>
    <row r="50" spans="2:7" ht="15" thickBot="1" x14ac:dyDescent="0.25">
      <c r="B50" s="5" t="s">
        <v>75</v>
      </c>
      <c r="C50" s="6">
        <f>[1092]Tasas!$B$36</f>
        <v>0.98305597579425108</v>
      </c>
      <c r="D50" s="6">
        <f>[1092]Tasas!$B$17</f>
        <v>1.0557661072008662</v>
      </c>
      <c r="E50" s="6">
        <f>[1092]Tasas!$B$28</f>
        <v>0.962189838519102</v>
      </c>
      <c r="F50" s="6">
        <f>[1092]Tasas!$B$31</f>
        <v>1.1707317073170731</v>
      </c>
      <c r="G50" s="6">
        <f>[1092]Tasas!$B$35</f>
        <v>0.9616724738675958</v>
      </c>
    </row>
    <row r="51" spans="2:7" ht="15" thickBot="1" x14ac:dyDescent="0.25">
      <c r="B51" s="5" t="s">
        <v>76</v>
      </c>
      <c r="C51" s="6">
        <f>[1093]Tasas!$B$36</f>
        <v>0.99877420185218102</v>
      </c>
      <c r="D51" s="6">
        <f>[1093]Tasas!$B$17</f>
        <v>0.99019965911857799</v>
      </c>
      <c r="E51" s="6">
        <f>[1093]Tasas!$B$28</f>
        <v>1.0010976033344912</v>
      </c>
      <c r="F51" s="6">
        <f>[1093]Tasas!$B$31</f>
        <v>0.92318634423897583</v>
      </c>
      <c r="G51" s="6">
        <f>[1093]Tasas!$B$35</f>
        <v>0.93118383060635224</v>
      </c>
    </row>
    <row r="52" spans="2:7" ht="15" thickBot="1" x14ac:dyDescent="0.25">
      <c r="B52" s="5" t="s">
        <v>77</v>
      </c>
      <c r="C52" s="6">
        <f>[1094]Tasas!$B$36</f>
        <v>1.0155544887181949</v>
      </c>
      <c r="D52" s="6">
        <f>[1094]Tasas!$B$17</f>
        <v>1.1282392026578074</v>
      </c>
      <c r="E52" s="6">
        <f>[1094]Tasas!$B$28</f>
        <v>0.98643457382953181</v>
      </c>
      <c r="F52" s="6">
        <f>[1094]Tasas!$B$31</f>
        <v>1.1518987341772151</v>
      </c>
      <c r="G52" s="6">
        <f>[1094]Tasas!$B$35</f>
        <v>1.1374407582938388</v>
      </c>
    </row>
    <row r="53" spans="2:7" ht="15" thickBot="1" x14ac:dyDescent="0.25">
      <c r="B53" s="5" t="s">
        <v>78</v>
      </c>
      <c r="C53" s="6">
        <f>[1095]Tasas!$B$36</f>
        <v>0.99744189299918062</v>
      </c>
      <c r="D53" s="6">
        <f>[1095]Tasas!$B$17</f>
        <v>0.9574588769143505</v>
      </c>
      <c r="E53" s="6">
        <f>[1095]Tasas!$B$28</f>
        <v>1.0139738908880775</v>
      </c>
      <c r="F53" s="6">
        <f>[1095]Tasas!$B$31</f>
        <v>0.76220614828209765</v>
      </c>
      <c r="G53" s="6">
        <f>[1095]Tasas!$B$35</f>
        <v>0.98924205378973107</v>
      </c>
    </row>
    <row r="54" spans="2:7" ht="15" thickBot="1" x14ac:dyDescent="0.25">
      <c r="B54" s="5" t="s">
        <v>79</v>
      </c>
      <c r="C54" s="6">
        <f>[1096]Tasas!$B$36</f>
        <v>0.97550027041644127</v>
      </c>
      <c r="D54" s="6">
        <f>[1096]Tasas!$B$17</f>
        <v>0.96970931416766082</v>
      </c>
      <c r="E54" s="6">
        <f>[1096]Tasas!$B$28</f>
        <v>0.98638598368025132</v>
      </c>
      <c r="F54" s="6">
        <f>[1096]Tasas!$B$31</f>
        <v>1.0075703808847882</v>
      </c>
      <c r="G54" s="6">
        <f>[1096]Tasas!$B$35</f>
        <v>0.75032914422501495</v>
      </c>
    </row>
    <row r="55" spans="2:7" ht="15" thickBot="1" x14ac:dyDescent="0.25">
      <c r="B55" s="5" t="s">
        <v>80</v>
      </c>
      <c r="C55" s="6">
        <f>[1097]Tasas!$B$36</f>
        <v>1.0199002998947388</v>
      </c>
      <c r="D55" s="6">
        <f>[1097]Tasas!$B$17</f>
        <v>1.0329865516366405</v>
      </c>
      <c r="E55" s="6">
        <f>[1097]Tasas!$B$28</f>
        <v>1.0245884314600409</v>
      </c>
      <c r="F55" s="6">
        <f>[1097]Tasas!$B$31</f>
        <v>1.0241779497098646</v>
      </c>
      <c r="G55" s="6">
        <f>[1097]Tasas!$B$35</f>
        <v>0.92844364937388191</v>
      </c>
    </row>
    <row r="56" spans="2:7" ht="15" thickBot="1" x14ac:dyDescent="0.25">
      <c r="B56" s="5" t="s">
        <v>81</v>
      </c>
      <c r="C56" s="6">
        <f>[1098]Tasas!$B$36</f>
        <v>1.0002272303060304</v>
      </c>
      <c r="D56" s="6">
        <f>[1098]Tasas!$B$17</f>
        <v>0.99811907690081747</v>
      </c>
      <c r="E56" s="6">
        <f>[1098]Tasas!$B$28</f>
        <v>1.0032157532207158</v>
      </c>
      <c r="F56" s="6">
        <f>[1098]Tasas!$B$31</f>
        <v>0.97619047619047616</v>
      </c>
      <c r="G56" s="6">
        <f>[1098]Tasas!$B$35</f>
        <v>0.96703767123287676</v>
      </c>
    </row>
    <row r="57" spans="2:7" ht="15" thickBot="1" x14ac:dyDescent="0.25">
      <c r="B57" s="5" t="s">
        <v>82</v>
      </c>
      <c r="C57" s="6">
        <f>[1099]Tasas!$B$36</f>
        <v>1.0066331324968216</v>
      </c>
      <c r="D57" s="6">
        <f>[1099]Tasas!$B$17</f>
        <v>1.0942307692307693</v>
      </c>
      <c r="E57" s="6">
        <f>[1099]Tasas!$B$28</f>
        <v>0.99200358717584636</v>
      </c>
      <c r="F57" s="6">
        <f>[1099]Tasas!$B$31</f>
        <v>1.1323076923076922</v>
      </c>
      <c r="G57" s="6">
        <f>[1099]Tasas!$B$35</f>
        <v>0.78657718120805364</v>
      </c>
    </row>
    <row r="58" spans="2:7" ht="15" thickBot="1" x14ac:dyDescent="0.25">
      <c r="B58" s="5" t="s">
        <v>83</v>
      </c>
      <c r="C58" s="6">
        <f>[1100]Tasas!$B$36</f>
        <v>0.99823575933323871</v>
      </c>
      <c r="D58" s="6">
        <f>[1100]Tasas!$B$17</f>
        <v>1.0044707009420406</v>
      </c>
      <c r="E58" s="6">
        <f>[1100]Tasas!$B$28</f>
        <v>0.99802944244812797</v>
      </c>
      <c r="F58" s="6">
        <f>[1100]Tasas!$B$31</f>
        <v>1.1394052044609666</v>
      </c>
      <c r="G58" s="6">
        <f>[1100]Tasas!$B$35</f>
        <v>0.96372334064181786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2CB32-C5D5-4D00-AAD8-FD32C5F6B496}">
  <dimension ref="B7:X58"/>
  <sheetViews>
    <sheetView workbookViewId="0"/>
  </sheetViews>
  <sheetFormatPr baseColWidth="10" defaultColWidth="10.710937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24" width="7" style="1" bestFit="1" customWidth="1"/>
    <col min="25" max="16384" width="10.7109375" style="1"/>
  </cols>
  <sheetData>
    <row r="7" spans="2:24" ht="13.5" thickBot="1" x14ac:dyDescent="0.25"/>
    <row r="8" spans="2:24" ht="20.100000000000001" customHeight="1" thickBot="1" x14ac:dyDescent="0.25"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</row>
    <row r="9" spans="2:24" s="7" customFormat="1" ht="20.100000000000001" customHeight="1" thickBot="1" x14ac:dyDescent="0.25">
      <c r="B9" s="5" t="s">
        <v>39</v>
      </c>
      <c r="C9" s="6">
        <f>+'2001'!D9</f>
        <v>1.0518887505188874</v>
      </c>
      <c r="D9" s="6">
        <f>+'2002'!D9</f>
        <v>0.95955725840783312</v>
      </c>
      <c r="E9" s="6">
        <f>+'2003'!D9</f>
        <v>1.0299585395211983</v>
      </c>
      <c r="F9" s="6">
        <f>+'2004'!D9</f>
        <v>0.98468875502008035</v>
      </c>
      <c r="G9" s="6">
        <f>+'2005'!D9</f>
        <v>0.99596495273230345</v>
      </c>
      <c r="H9" s="6">
        <f>+'2006'!D9</f>
        <v>0.95887940363111701</v>
      </c>
      <c r="I9" s="6">
        <f>+'2007'!D9</f>
        <v>0.96212437395659434</v>
      </c>
      <c r="J9" s="6">
        <f>+'2008'!D9</f>
        <v>0.93988611966769342</v>
      </c>
      <c r="K9" s="6">
        <f>+'2009'!D9</f>
        <v>1.0900688655309896</v>
      </c>
      <c r="L9" s="6">
        <f>+'2010'!D9</f>
        <v>0.98345733041575489</v>
      </c>
      <c r="M9" s="6">
        <f>+'2011'!D9</f>
        <v>1.0416042309387394</v>
      </c>
      <c r="N9" s="6">
        <f>+'2012'!D9</f>
        <v>0.94782074892572132</v>
      </c>
      <c r="O9" s="6">
        <f>+'2013'!D9</f>
        <v>1.037986542883911</v>
      </c>
      <c r="P9" s="6">
        <f>+'2014'!D9</f>
        <v>0.9950454170107349</v>
      </c>
      <c r="Q9" s="6">
        <f>+'2015'!D9</f>
        <v>1.0160330184935313</v>
      </c>
      <c r="R9" s="6">
        <f>+'2016'!D9</f>
        <v>0.99991150442477872</v>
      </c>
      <c r="S9" s="6">
        <f>+'2017'!D9</f>
        <v>0.96891320567023131</v>
      </c>
      <c r="T9" s="6">
        <f>+'2018'!D9</f>
        <v>0.96467806980948412</v>
      </c>
      <c r="U9" s="6">
        <f>+'2019'!D9</f>
        <v>0.95350803043110732</v>
      </c>
      <c r="V9" s="6">
        <f>+'2020'!D9</f>
        <v>1.009363580998782</v>
      </c>
      <c r="W9" s="6">
        <f>+'2021'!D9</f>
        <v>0.9697594501718213</v>
      </c>
      <c r="X9" s="6">
        <f>+'2022'!E9</f>
        <v>0.98264576038970919</v>
      </c>
    </row>
    <row r="10" spans="2:24" s="7" customFormat="1" ht="20.100000000000001" customHeight="1" thickBot="1" x14ac:dyDescent="0.25">
      <c r="B10" s="5" t="s">
        <v>40</v>
      </c>
      <c r="C10" s="6">
        <f>+'2001'!D10</f>
        <v>0.99706246134817567</v>
      </c>
      <c r="D10" s="6">
        <f>+'2002'!D10</f>
        <v>1.0913632180886026</v>
      </c>
      <c r="E10" s="6">
        <f>+'2003'!D10</f>
        <v>0.9173186967184398</v>
      </c>
      <c r="F10" s="6">
        <f>+'2004'!D10</f>
        <v>0.97625841798881408</v>
      </c>
      <c r="G10" s="6">
        <f>+'2005'!D10</f>
        <v>0.96530239553120634</v>
      </c>
      <c r="H10" s="6">
        <f>+'2006'!D10</f>
        <v>0.99924048229374351</v>
      </c>
      <c r="I10" s="6">
        <f>+'2007'!D10</f>
        <v>0.98159320993966659</v>
      </c>
      <c r="J10" s="6">
        <f>+'2008'!D10</f>
        <v>0.84300570278430054</v>
      </c>
      <c r="K10" s="6">
        <f>+'2009'!D10</f>
        <v>0.91691258443176604</v>
      </c>
      <c r="L10" s="6">
        <f>+'2010'!D10</f>
        <v>0.97333240978042534</v>
      </c>
      <c r="M10" s="6">
        <f>+'2011'!D10</f>
        <v>1.0137351373513734</v>
      </c>
      <c r="N10" s="6">
        <f>+'2012'!D10</f>
        <v>1.0098490662573549</v>
      </c>
      <c r="O10" s="6">
        <f>+'2013'!D10</f>
        <v>1.0548221885594748</v>
      </c>
      <c r="P10" s="6">
        <f>+'2014'!D10</f>
        <v>0.99065877037670191</v>
      </c>
      <c r="Q10" s="6">
        <f>+'2015'!D10</f>
        <v>0.97092683962013904</v>
      </c>
      <c r="R10" s="6">
        <f>+'2016'!D10</f>
        <v>1.0866625691456668</v>
      </c>
      <c r="S10" s="6">
        <f>+'2017'!D10</f>
        <v>0.92539047373176708</v>
      </c>
      <c r="T10" s="6">
        <f>+'2018'!D10</f>
        <v>0.88605632055576233</v>
      </c>
      <c r="U10" s="6">
        <f>+'2019'!D10</f>
        <v>0.96067857544096169</v>
      </c>
      <c r="V10" s="6">
        <f>+'2020'!D10</f>
        <v>0.89837844428188252</v>
      </c>
      <c r="W10" s="6">
        <f>+'2021'!D10</f>
        <v>1.0007727548711156</v>
      </c>
      <c r="X10" s="6">
        <f>+'2022'!E10</f>
        <v>0.94752986761381985</v>
      </c>
    </row>
    <row r="11" spans="2:24" s="7" customFormat="1" ht="20.100000000000001" customHeight="1" thickBot="1" x14ac:dyDescent="0.25">
      <c r="B11" s="5" t="s">
        <v>41</v>
      </c>
      <c r="C11" s="6">
        <f>+'2001'!D11</f>
        <v>1.0332809837270691</v>
      </c>
      <c r="D11" s="6">
        <f>+'2002'!D11</f>
        <v>0.94459538379503849</v>
      </c>
      <c r="E11" s="6">
        <f>+'2003'!D11</f>
        <v>0.87206113733423241</v>
      </c>
      <c r="F11" s="6">
        <f>+'2004'!D11</f>
        <v>0.9321605977256866</v>
      </c>
      <c r="G11" s="6">
        <f>+'2005'!D11</f>
        <v>0.90780516218282425</v>
      </c>
      <c r="H11" s="6">
        <f>+'2006'!D11</f>
        <v>0.900448337343558</v>
      </c>
      <c r="I11" s="6">
        <f>+'2007'!D11</f>
        <v>0.93969083387763985</v>
      </c>
      <c r="J11" s="6">
        <f>+'2008'!D11</f>
        <v>0.81682220304239939</v>
      </c>
      <c r="K11" s="6">
        <f>+'2009'!D11</f>
        <v>0.7919005701055023</v>
      </c>
      <c r="L11" s="6">
        <f>+'2010'!D11</f>
        <v>0.88066389331508199</v>
      </c>
      <c r="M11" s="6">
        <f>+'2011'!D11</f>
        <v>1.1103634418766637</v>
      </c>
      <c r="N11" s="6">
        <f>+'2012'!D11</f>
        <v>1.0226345128161909</v>
      </c>
      <c r="O11" s="6">
        <f>+'2013'!D11</f>
        <v>1.1240291229349868</v>
      </c>
      <c r="P11" s="6">
        <f>+'2014'!D11</f>
        <v>1.0570930932469296</v>
      </c>
      <c r="Q11" s="6">
        <f>+'2015'!D11</f>
        <v>1.0224560226237838</v>
      </c>
      <c r="R11" s="6">
        <f>+'2016'!D11</f>
        <v>1.0503276738948912</v>
      </c>
      <c r="S11" s="6">
        <f>+'2017'!D11</f>
        <v>0.9148474825431826</v>
      </c>
      <c r="T11" s="6">
        <f>+'2018'!D11</f>
        <v>0.92892943627865066</v>
      </c>
      <c r="U11" s="6">
        <f>+'2019'!D11</f>
        <v>0.97439183205709223</v>
      </c>
      <c r="V11" s="6">
        <f>+'2020'!D11</f>
        <v>0.92576832151300237</v>
      </c>
      <c r="W11" s="6">
        <f>+'2021'!D11</f>
        <v>1.0069262925462146</v>
      </c>
      <c r="X11" s="6">
        <f>+'2022'!E11</f>
        <v>0.9823302569435417</v>
      </c>
    </row>
    <row r="12" spans="2:24" s="7" customFormat="1" ht="20.100000000000001" customHeight="1" thickBot="1" x14ac:dyDescent="0.25">
      <c r="B12" s="5" t="s">
        <v>42</v>
      </c>
      <c r="C12" s="6">
        <f>+'2001'!D12</f>
        <v>1.0339890822947782</v>
      </c>
      <c r="D12" s="6">
        <f>+'2002'!D12</f>
        <v>1.0333449720670391</v>
      </c>
      <c r="E12" s="6">
        <f>+'2003'!D12</f>
        <v>0.93769174579985393</v>
      </c>
      <c r="F12" s="6">
        <f>+'2004'!D12</f>
        <v>0.9570746148153132</v>
      </c>
      <c r="G12" s="6">
        <f>+'2005'!D12</f>
        <v>0.93978976177147477</v>
      </c>
      <c r="H12" s="6">
        <f>+'2006'!D12</f>
        <v>0.93054103142715616</v>
      </c>
      <c r="I12" s="6">
        <f>+'2007'!D12</f>
        <v>0.93630000000000002</v>
      </c>
      <c r="J12" s="6">
        <f>+'2008'!D12</f>
        <v>0.74860028543199031</v>
      </c>
      <c r="K12" s="6">
        <f>+'2009'!D12</f>
        <v>0.72019068658798902</v>
      </c>
      <c r="L12" s="6">
        <f>+'2010'!D12</f>
        <v>0.86719757082700732</v>
      </c>
      <c r="M12" s="6">
        <f>+'2011'!D12</f>
        <v>0.94506808980493195</v>
      </c>
      <c r="N12" s="6">
        <f>+'2012'!D12</f>
        <v>1.0092484160586133</v>
      </c>
      <c r="O12" s="6">
        <f>+'2013'!D12</f>
        <v>1.2141597379692617</v>
      </c>
      <c r="P12" s="6">
        <f>+'2014'!D12</f>
        <v>1.0652833650928082</v>
      </c>
      <c r="Q12" s="6">
        <f>+'2015'!D12</f>
        <v>1.0359618998250502</v>
      </c>
      <c r="R12" s="6">
        <f>+'2016'!D12</f>
        <v>1.088713439799031</v>
      </c>
      <c r="S12" s="6">
        <f>+'2017'!D12</f>
        <v>0.96665808444902168</v>
      </c>
      <c r="T12" s="6">
        <f>+'2018'!D12</f>
        <v>0.91901573878318066</v>
      </c>
      <c r="U12" s="6">
        <f>+'2019'!D12</f>
        <v>1.0459629500174763</v>
      </c>
      <c r="V12" s="6">
        <f>+'2020'!D12</f>
        <v>0.92714263967118282</v>
      </c>
      <c r="W12" s="6">
        <f>+'2021'!D12</f>
        <v>1.0785003866357359</v>
      </c>
      <c r="X12" s="6">
        <f>+'2022'!E12</f>
        <v>0.99045657537878018</v>
      </c>
    </row>
    <row r="13" spans="2:24" s="7" customFormat="1" ht="20.100000000000001" customHeight="1" thickBot="1" x14ac:dyDescent="0.25">
      <c r="B13" s="5" t="s">
        <v>43</v>
      </c>
      <c r="C13" s="6">
        <f>+'2001'!D13</f>
        <v>1.0111524163568772</v>
      </c>
      <c r="D13" s="6">
        <f>+'2002'!D13</f>
        <v>1.0553059108192189</v>
      </c>
      <c r="E13" s="6">
        <f>+'2003'!D13</f>
        <v>1.0093205051112448</v>
      </c>
      <c r="F13" s="6">
        <f>+'2004'!D13</f>
        <v>0.99364991717283269</v>
      </c>
      <c r="G13" s="6">
        <f>+'2005'!D13</f>
        <v>0.97035468501852828</v>
      </c>
      <c r="H13" s="6">
        <f>+'2006'!D13</f>
        <v>0.92689173457508733</v>
      </c>
      <c r="I13" s="6">
        <f>+'2007'!D13</f>
        <v>0.97379603399433423</v>
      </c>
      <c r="J13" s="6">
        <f>+'2008'!D13</f>
        <v>0.85960829939887529</v>
      </c>
      <c r="K13" s="6">
        <f>+'2009'!D13</f>
        <v>1.0043531255441407</v>
      </c>
      <c r="L13" s="6">
        <f>+'2010'!D13</f>
        <v>0.95702990718459957</v>
      </c>
      <c r="M13" s="6">
        <f>+'2011'!D13</f>
        <v>1.0379190327898882</v>
      </c>
      <c r="N13" s="6">
        <f>+'2012'!D13</f>
        <v>0.98350851757883295</v>
      </c>
      <c r="O13" s="6">
        <f>+'2013'!D13</f>
        <v>1.0096803652968036</v>
      </c>
      <c r="P13" s="6">
        <f>+'2014'!D13</f>
        <v>1.0054865257382604</v>
      </c>
      <c r="Q13" s="6">
        <f>+'2015'!D13</f>
        <v>0.77521237203223703</v>
      </c>
      <c r="R13" s="6">
        <f>+'2016'!D13</f>
        <v>1.210009953078345</v>
      </c>
      <c r="S13" s="6">
        <f>+'2017'!D13</f>
        <v>0.95831389018509872</v>
      </c>
      <c r="T13" s="6">
        <f>+'2018'!D13</f>
        <v>0.95250582750582746</v>
      </c>
      <c r="U13" s="6">
        <f>+'2019'!D13</f>
        <v>0.92886900169726894</v>
      </c>
      <c r="V13" s="6">
        <f>+'2020'!D13</f>
        <v>0.91748813435560428</v>
      </c>
      <c r="W13" s="6">
        <f>+'2021'!D13</f>
        <v>1.0570198105081825</v>
      </c>
      <c r="X13" s="6">
        <f>+'2022'!E13</f>
        <v>0.89101123595505616</v>
      </c>
    </row>
    <row r="14" spans="2:24" s="7" customFormat="1" ht="20.100000000000001" customHeight="1" thickBot="1" x14ac:dyDescent="0.25">
      <c r="B14" s="5" t="s">
        <v>44</v>
      </c>
      <c r="C14" s="6">
        <f>+'2001'!D14</f>
        <v>0.98520770010131709</v>
      </c>
      <c r="D14" s="6">
        <f>+'2002'!D14</f>
        <v>1.0400033129037602</v>
      </c>
      <c r="E14" s="6">
        <f>+'2003'!D14</f>
        <v>0.98473710004900927</v>
      </c>
      <c r="F14" s="6">
        <f>+'2004'!D14</f>
        <v>0.992929090787806</v>
      </c>
      <c r="G14" s="6">
        <f>+'2005'!D14</f>
        <v>0.96114209505334625</v>
      </c>
      <c r="H14" s="6">
        <f>+'2006'!D14</f>
        <v>0.94024645431295051</v>
      </c>
      <c r="I14" s="6">
        <f>+'2007'!D14</f>
        <v>0.94547140290896448</v>
      </c>
      <c r="J14" s="6">
        <f>+'2008'!D14</f>
        <v>0.87978843586320221</v>
      </c>
      <c r="K14" s="6">
        <f>+'2009'!D14</f>
        <v>0.91012867572909528</v>
      </c>
      <c r="L14" s="6">
        <f>+'2010'!D14</f>
        <v>0.97011387207382638</v>
      </c>
      <c r="M14" s="6">
        <f>+'2011'!D14</f>
        <v>1.0137105649303009</v>
      </c>
      <c r="N14" s="6">
        <f>+'2012'!D14</f>
        <v>1.0040123456790124</v>
      </c>
      <c r="O14" s="6">
        <f>+'2013'!D14</f>
        <v>1.0295893719806763</v>
      </c>
      <c r="P14" s="6">
        <f>+'2014'!D14</f>
        <v>1.0019283510455947</v>
      </c>
      <c r="Q14" s="6">
        <f>+'2015'!D14</f>
        <v>0.98945981554677209</v>
      </c>
      <c r="R14" s="6">
        <f>+'2016'!D14</f>
        <v>0.99151546795457512</v>
      </c>
      <c r="S14" s="6">
        <f>+'2017'!D14</f>
        <v>0.83833442052620133</v>
      </c>
      <c r="T14" s="6">
        <f>+'2018'!D14</f>
        <v>0.88124401259066654</v>
      </c>
      <c r="U14" s="6">
        <f>+'2019'!D14</f>
        <v>0.93020884607270937</v>
      </c>
      <c r="V14" s="6">
        <f>+'2020'!D14</f>
        <v>0.94288901282766313</v>
      </c>
      <c r="W14" s="6">
        <f>+'2021'!D14</f>
        <v>1.0955899104963385</v>
      </c>
      <c r="X14" s="6">
        <f>+'2022'!E14</f>
        <v>0.97379686434901158</v>
      </c>
    </row>
    <row r="15" spans="2:24" s="7" customFormat="1" ht="20.100000000000001" customHeight="1" thickBot="1" x14ac:dyDescent="0.25">
      <c r="B15" s="5" t="s">
        <v>45</v>
      </c>
      <c r="C15" s="6">
        <f>+'2001'!D15</f>
        <v>0.91500576511283149</v>
      </c>
      <c r="D15" s="6">
        <f>+'2002'!D15</f>
        <v>0.92751625671473004</v>
      </c>
      <c r="E15" s="6">
        <f>+'2003'!D15</f>
        <v>0.91187472262727443</v>
      </c>
      <c r="F15" s="6">
        <f>+'2004'!D15</f>
        <v>0.9057915057915058</v>
      </c>
      <c r="G15" s="6">
        <f>+'2005'!D15</f>
        <v>0.92568277310924374</v>
      </c>
      <c r="H15" s="6">
        <f>+'2006'!D15</f>
        <v>0.89854141576341495</v>
      </c>
      <c r="I15" s="6">
        <f>+'2007'!D15</f>
        <v>0.94417953069856408</v>
      </c>
      <c r="J15" s="6">
        <f>+'2008'!D15</f>
        <v>0.8259216670968953</v>
      </c>
      <c r="K15" s="6">
        <f>+'2009'!D15</f>
        <v>0.86759615384615385</v>
      </c>
      <c r="L15" s="6">
        <f>+'2010'!D15</f>
        <v>0.89904301774598161</v>
      </c>
      <c r="M15" s="6">
        <f>+'2011'!D15</f>
        <v>1.08701504354711</v>
      </c>
      <c r="N15" s="6">
        <f>+'2012'!D15</f>
        <v>1.08969013006886</v>
      </c>
      <c r="O15" s="6">
        <f>+'2013'!D15</f>
        <v>1.1610510112455639</v>
      </c>
      <c r="P15" s="6">
        <f>+'2014'!D15</f>
        <v>1.0269093233713567</v>
      </c>
      <c r="Q15" s="6">
        <f>+'2015'!D15</f>
        <v>0.96907294688738455</v>
      </c>
      <c r="R15" s="6">
        <f>+'2016'!D15</f>
        <v>1.0017458535977055</v>
      </c>
      <c r="S15" s="6">
        <f>+'2017'!D15</f>
        <v>0.91535406634307315</v>
      </c>
      <c r="T15" s="6">
        <f>+'2018'!D15</f>
        <v>0.86672607138653979</v>
      </c>
      <c r="U15" s="6">
        <f>+'2019'!D15</f>
        <v>0.87790204279565986</v>
      </c>
      <c r="V15" s="6">
        <f>+'2020'!D15</f>
        <v>0.92280531476957062</v>
      </c>
      <c r="W15" s="6">
        <f>+'2021'!D15</f>
        <v>0.97676578533443192</v>
      </c>
      <c r="X15" s="6">
        <f>+'2022'!E15</f>
        <v>1.0047540543649121</v>
      </c>
    </row>
    <row r="16" spans="2:24" s="7" customFormat="1" ht="20.100000000000001" customHeight="1" thickBot="1" x14ac:dyDescent="0.25">
      <c r="B16" s="5" t="s">
        <v>46</v>
      </c>
      <c r="C16" s="6">
        <f>+'2001'!D16</f>
        <v>0.99430527036276528</v>
      </c>
      <c r="D16" s="6">
        <f>+'2002'!D16</f>
        <v>0.99932843032874152</v>
      </c>
      <c r="E16" s="6">
        <f>+'2003'!D16</f>
        <v>0.93660460781551402</v>
      </c>
      <c r="F16" s="6">
        <f>+'2004'!D16</f>
        <v>0.96010264721772021</v>
      </c>
      <c r="G16" s="6">
        <f>+'2005'!D16</f>
        <v>0.96336484811886292</v>
      </c>
      <c r="H16" s="6">
        <f>+'2006'!D16</f>
        <v>0.94296292256700176</v>
      </c>
      <c r="I16" s="6">
        <f>+'2007'!D16</f>
        <v>0.98014263263303014</v>
      </c>
      <c r="J16" s="6">
        <f>+'2008'!D16</f>
        <v>0.92885179932051321</v>
      </c>
      <c r="K16" s="6">
        <f>+'2009'!D16</f>
        <v>0.91072158731863262</v>
      </c>
      <c r="L16" s="6">
        <f>+'2010'!D16</f>
        <v>0.99282697539471731</v>
      </c>
      <c r="M16" s="6">
        <f>+'2011'!D16</f>
        <v>1.0880977583642624</v>
      </c>
      <c r="N16" s="6">
        <f>+'2012'!D16</f>
        <v>0.99985340559739311</v>
      </c>
      <c r="O16" s="6">
        <f>+'2013'!D16</f>
        <v>1.040461864170706</v>
      </c>
      <c r="P16" s="6">
        <f>+'2014'!D16</f>
        <v>0.97935594698065076</v>
      </c>
      <c r="Q16" s="6">
        <f>+'2015'!D16</f>
        <v>1.0148420356151733</v>
      </c>
      <c r="R16" s="6">
        <f>+'2016'!D16</f>
        <v>0.96977757523053953</v>
      </c>
      <c r="S16" s="6">
        <f>+'2017'!D16</f>
        <v>0.89541190682741345</v>
      </c>
      <c r="T16" s="6">
        <f>+'2018'!D16</f>
        <v>0.87638920134983123</v>
      </c>
      <c r="U16" s="6">
        <f>+'2019'!D16</f>
        <v>0.87872720311965336</v>
      </c>
      <c r="V16" s="6">
        <f>+'2020'!D16</f>
        <v>0.9345626264897684</v>
      </c>
      <c r="W16" s="6">
        <f>+'2021'!D16</f>
        <v>0.99909864989260511</v>
      </c>
      <c r="X16" s="6">
        <f>+'2022'!E16</f>
        <v>0.9872160057023307</v>
      </c>
    </row>
    <row r="17" spans="2:24" s="7" customFormat="1" ht="20.100000000000001" customHeight="1" thickBot="1" x14ac:dyDescent="0.25">
      <c r="B17" s="5" t="s">
        <v>47</v>
      </c>
      <c r="C17" s="6">
        <f>+'2001'!D17</f>
        <v>1.0524469950581858</v>
      </c>
      <c r="D17" s="6">
        <f>+'2002'!D17</f>
        <v>0.98306761957119293</v>
      </c>
      <c r="E17" s="6">
        <f>+'2003'!D17</f>
        <v>0.95446446248267669</v>
      </c>
      <c r="F17" s="6">
        <f>+'2004'!D17</f>
        <v>1.0007805639574592</v>
      </c>
      <c r="G17" s="6">
        <f>+'2005'!D17</f>
        <v>0.99875562362400694</v>
      </c>
      <c r="H17" s="6">
        <f>+'2006'!D17</f>
        <v>0.94694819020581977</v>
      </c>
      <c r="I17" s="6">
        <f>+'2007'!D17</f>
        <v>0.98804476852636935</v>
      </c>
      <c r="J17" s="6">
        <f>+'2008'!D17</f>
        <v>0.9328293566422553</v>
      </c>
      <c r="K17" s="6">
        <f>+'2009'!D17</f>
        <v>1.0018609267415173</v>
      </c>
      <c r="L17" s="6">
        <f>+'2010'!D17</f>
        <v>0.99154780771262552</v>
      </c>
      <c r="M17" s="6">
        <f>+'2011'!D17</f>
        <v>0.96289437585733884</v>
      </c>
      <c r="N17" s="6">
        <f>+'2012'!D17</f>
        <v>1.0201687318745056</v>
      </c>
      <c r="O17" s="6">
        <f>+'2013'!D17</f>
        <v>1.0427709262660718</v>
      </c>
      <c r="P17" s="6">
        <f>+'2014'!D17</f>
        <v>0.99219841639496975</v>
      </c>
      <c r="Q17" s="6">
        <f>+'2015'!D17</f>
        <v>0.96258364853069533</v>
      </c>
      <c r="R17" s="6">
        <f>+'2016'!D17</f>
        <v>1.0093146586891488</v>
      </c>
      <c r="S17" s="6">
        <f>+'2017'!D17</f>
        <v>0.89357937310414559</v>
      </c>
      <c r="T17" s="6">
        <f>+'2018'!D17</f>
        <v>0.98594216203809959</v>
      </c>
      <c r="U17" s="6">
        <f>+'2019'!D17</f>
        <v>0.94430206731590638</v>
      </c>
      <c r="V17" s="6">
        <f>+'2020'!D17</f>
        <v>0.99308573686290003</v>
      </c>
      <c r="W17" s="6">
        <f>+'2021'!D17</f>
        <v>0.99428005719942802</v>
      </c>
      <c r="X17" s="6">
        <f>+'2022'!E17</f>
        <v>0.97964897168084419</v>
      </c>
    </row>
    <row r="18" spans="2:24" s="7" customFormat="1" ht="20.100000000000001" customHeight="1" thickBot="1" x14ac:dyDescent="0.25">
      <c r="B18" s="5" t="s">
        <v>48</v>
      </c>
      <c r="C18" s="6">
        <f>+'2001'!D18</f>
        <v>0.98292162244586767</v>
      </c>
      <c r="D18" s="6">
        <f>+'2002'!D18</f>
        <v>0.98190541466758052</v>
      </c>
      <c r="E18" s="6">
        <f>+'2003'!D18</f>
        <v>0.97400141810446705</v>
      </c>
      <c r="F18" s="6">
        <f>+'2004'!D18</f>
        <v>0.96841605319401569</v>
      </c>
      <c r="G18" s="6">
        <f>+'2005'!D18</f>
        <v>1.0133164963838825</v>
      </c>
      <c r="H18" s="6">
        <f>+'2006'!D18</f>
        <v>0.93158783783783783</v>
      </c>
      <c r="I18" s="6">
        <f>+'2007'!D18</f>
        <v>0.98355663824604145</v>
      </c>
      <c r="J18" s="6">
        <f>+'2008'!D18</f>
        <v>0.84143742735373883</v>
      </c>
      <c r="K18" s="6">
        <f>+'2009'!D18</f>
        <v>0.96006402561024407</v>
      </c>
      <c r="L18" s="6">
        <f>+'2010'!D18</f>
        <v>0.96052298608182196</v>
      </c>
      <c r="M18" s="6">
        <f>+'2011'!D18</f>
        <v>0.99556159420289858</v>
      </c>
      <c r="N18" s="6">
        <f>+'2012'!D18</f>
        <v>1.0021641551779417</v>
      </c>
      <c r="O18" s="6">
        <f>+'2013'!D18</f>
        <v>1.011018175969117</v>
      </c>
      <c r="P18" s="6">
        <f>+'2014'!D18</f>
        <v>1.0063503649635037</v>
      </c>
      <c r="Q18" s="6">
        <f>+'2015'!D18</f>
        <v>0.95654193205944793</v>
      </c>
      <c r="R18" s="6">
        <f>+'2016'!D18</f>
        <v>0.96673791076676463</v>
      </c>
      <c r="S18" s="6">
        <f>+'2017'!D18</f>
        <v>0.83221183800623055</v>
      </c>
      <c r="T18" s="6">
        <f>+'2018'!D18</f>
        <v>0.85894032090499828</v>
      </c>
      <c r="U18" s="6">
        <f>+'2019'!D18</f>
        <v>1.0541650371529137</v>
      </c>
      <c r="V18" s="6">
        <f>+'2020'!D18</f>
        <v>1.0953238882974368</v>
      </c>
      <c r="W18" s="6">
        <f>+'2021'!D18</f>
        <v>0.97308991761010022</v>
      </c>
      <c r="X18" s="6">
        <f>+'2022'!E18</f>
        <v>0.96648698128559807</v>
      </c>
    </row>
    <row r="19" spans="2:24" s="7" customFormat="1" ht="20.100000000000001" customHeight="1" thickBot="1" x14ac:dyDescent="0.25">
      <c r="B19" s="5" t="s">
        <v>49</v>
      </c>
      <c r="C19" s="6">
        <f>+'2001'!D19</f>
        <v>1.0001818181818183</v>
      </c>
      <c r="D19" s="6">
        <f>+'2002'!D19</f>
        <v>0.96120604601602277</v>
      </c>
      <c r="E19" s="6">
        <f>+'2003'!D19</f>
        <v>0.90654831686484671</v>
      </c>
      <c r="F19" s="6">
        <f>+'2004'!D19</f>
        <v>0.98464738510301109</v>
      </c>
      <c r="G19" s="6">
        <f>+'2005'!D19</f>
        <v>0.96610851465535919</v>
      </c>
      <c r="H19" s="6">
        <f>+'2006'!D19</f>
        <v>0.95788185948968896</v>
      </c>
      <c r="I19" s="6">
        <f>+'2007'!D19</f>
        <v>0.96619068785420603</v>
      </c>
      <c r="J19" s="6">
        <f>+'2008'!D19</f>
        <v>0.87876588021778579</v>
      </c>
      <c r="K19" s="6">
        <f>+'2009'!D19</f>
        <v>0.90502545043225335</v>
      </c>
      <c r="L19" s="6">
        <f>+'2010'!D19</f>
        <v>0.95850932681231182</v>
      </c>
      <c r="M19" s="6">
        <f>+'2011'!D19</f>
        <v>1.0119585214918883</v>
      </c>
      <c r="N19" s="6">
        <f>+'2012'!D19</f>
        <v>1.0125957481669603</v>
      </c>
      <c r="O19" s="6">
        <f>+'2013'!D19</f>
        <v>1.1149673127652253</v>
      </c>
      <c r="P19" s="6">
        <f>+'2014'!D19</f>
        <v>1.0079413561392792</v>
      </c>
      <c r="Q19" s="6">
        <f>+'2015'!D19</f>
        <v>0.92357585502899786</v>
      </c>
      <c r="R19" s="6">
        <f>+'2016'!D19</f>
        <v>0.97557412967621526</v>
      </c>
      <c r="S19" s="6">
        <f>+'2017'!D19</f>
        <v>0.83499313791040575</v>
      </c>
      <c r="T19" s="6">
        <f>+'2018'!D19</f>
        <v>0.89437134502923976</v>
      </c>
      <c r="U19" s="6">
        <f>+'2019'!D19</f>
        <v>0.94561065832606539</v>
      </c>
      <c r="V19" s="6">
        <f>+'2020'!D19</f>
        <v>0.93038646122758273</v>
      </c>
      <c r="W19" s="6">
        <f>+'2021'!D19</f>
        <v>1.0514531349505007</v>
      </c>
      <c r="X19" s="6">
        <f>+'2022'!E19</f>
        <v>0.99887047767499126</v>
      </c>
    </row>
    <row r="20" spans="2:24" s="7" customFormat="1" ht="20.100000000000001" customHeight="1" thickBot="1" x14ac:dyDescent="0.25">
      <c r="B20" s="5" t="s">
        <v>50</v>
      </c>
      <c r="C20" s="6">
        <f>+'2001'!D20</f>
        <v>1.0511998345055855</v>
      </c>
      <c r="D20" s="6">
        <f>+'2002'!D20</f>
        <v>0.87826240821020973</v>
      </c>
      <c r="E20" s="6">
        <f>+'2003'!D20</f>
        <v>0.86038276069921638</v>
      </c>
      <c r="F20" s="6">
        <f>+'2004'!D20</f>
        <v>0.9373151554497583</v>
      </c>
      <c r="G20" s="6">
        <f>+'2005'!D20</f>
        <v>0.91441837118835489</v>
      </c>
      <c r="H20" s="6">
        <f>+'2006'!D20</f>
        <v>0.93604396977078264</v>
      </c>
      <c r="I20" s="6">
        <f>+'2007'!D20</f>
        <v>0.90518296073851634</v>
      </c>
      <c r="J20" s="6">
        <f>+'2008'!D20</f>
        <v>0.83964402653009818</v>
      </c>
      <c r="K20" s="6">
        <f>+'2009'!D20</f>
        <v>0.78574897212599959</v>
      </c>
      <c r="L20" s="6">
        <f>+'2010'!D20</f>
        <v>0.93639635968486823</v>
      </c>
      <c r="M20" s="6">
        <f>+'2011'!D20</f>
        <v>1.0815605716141605</v>
      </c>
      <c r="N20" s="6">
        <f>+'2012'!D20</f>
        <v>1.0876322751322751</v>
      </c>
      <c r="O20" s="6">
        <f>+'2013'!D20</f>
        <v>1.1074642214414261</v>
      </c>
      <c r="P20" s="6">
        <f>+'2014'!D20</f>
        <v>1.0717603057827463</v>
      </c>
      <c r="Q20" s="6">
        <f>+'2015'!D20</f>
        <v>0.8814974324995859</v>
      </c>
      <c r="R20" s="6">
        <f>+'2016'!D20</f>
        <v>1.1437091735302471</v>
      </c>
      <c r="S20" s="6">
        <f>+'2017'!D20</f>
        <v>0.96850975111844673</v>
      </c>
      <c r="T20" s="6">
        <f>+'2018'!D20</f>
        <v>0.9200233281493001</v>
      </c>
      <c r="U20" s="6">
        <f>+'2019'!D20</f>
        <v>0.96272000573538374</v>
      </c>
      <c r="V20" s="6">
        <f>+'2020'!D20</f>
        <v>0.93239957908487248</v>
      </c>
      <c r="W20" s="6">
        <f>+'2021'!D20</f>
        <v>0.98613728559108182</v>
      </c>
      <c r="X20" s="6">
        <f>+'2022'!E20</f>
        <v>0.95197605795317874</v>
      </c>
    </row>
    <row r="21" spans="2:24" s="7" customFormat="1" ht="20.100000000000001" customHeight="1" thickBot="1" x14ac:dyDescent="0.25">
      <c r="B21" s="5" t="s">
        <v>51</v>
      </c>
      <c r="C21" s="6">
        <f>+'2001'!D21</f>
        <v>1.0490405117270789</v>
      </c>
      <c r="D21" s="6">
        <f>+'2002'!D21</f>
        <v>0.95234182415776503</v>
      </c>
      <c r="E21" s="6">
        <f>+'2003'!D21</f>
        <v>0.9004500054878718</v>
      </c>
      <c r="F21" s="6">
        <f>+'2004'!D21</f>
        <v>0.92181800256334423</v>
      </c>
      <c r="G21" s="6">
        <f>+'2005'!D21</f>
        <v>0.95842666427739454</v>
      </c>
      <c r="H21" s="6">
        <f>+'2006'!D21</f>
        <v>0.92521694742215421</v>
      </c>
      <c r="I21" s="6">
        <f>+'2007'!D21</f>
        <v>0.93126101586284249</v>
      </c>
      <c r="J21" s="6">
        <f>+'2008'!D21</f>
        <v>0.78656434935292974</v>
      </c>
      <c r="K21" s="6">
        <f>+'2009'!D21</f>
        <v>0.85338528981977591</v>
      </c>
      <c r="L21" s="6">
        <f>+'2010'!D21</f>
        <v>1.0110315023314</v>
      </c>
      <c r="M21" s="6">
        <f>+'2011'!D21</f>
        <v>0.99017288444040041</v>
      </c>
      <c r="N21" s="6">
        <f>+'2012'!D21</f>
        <v>1.0182205527835397</v>
      </c>
      <c r="O21" s="6">
        <f>+'2013'!D21</f>
        <v>1.0872072072072072</v>
      </c>
      <c r="P21" s="6">
        <f>+'2014'!D21</f>
        <v>1.0056036395916557</v>
      </c>
      <c r="Q21" s="6">
        <f>+'2015'!D21</f>
        <v>0.88281622911694513</v>
      </c>
      <c r="R21" s="6">
        <f>+'2016'!D21</f>
        <v>0.99069081001305559</v>
      </c>
      <c r="S21" s="6">
        <f>+'2017'!D21</f>
        <v>0.96608521898795696</v>
      </c>
      <c r="T21" s="6">
        <f>+'2018'!D21</f>
        <v>0.89332617292388805</v>
      </c>
      <c r="U21" s="6">
        <f>+'2019'!D21</f>
        <v>0.93723057974839452</v>
      </c>
      <c r="V21" s="6">
        <f>+'2020'!D21</f>
        <v>0.91148138505597498</v>
      </c>
      <c r="W21" s="6">
        <f>+'2021'!D21</f>
        <v>0.98651695526695526</v>
      </c>
      <c r="X21" s="6">
        <f>+'2022'!E21</f>
        <v>0.96843565730142211</v>
      </c>
    </row>
    <row r="22" spans="2:24" s="7" customFormat="1" ht="15" thickBot="1" x14ac:dyDescent="0.25">
      <c r="B22" s="5" t="s">
        <v>52</v>
      </c>
      <c r="C22" s="6">
        <f>+'2001'!D22</f>
        <v>0.9668831168831169</v>
      </c>
      <c r="D22" s="6">
        <f>+'2002'!D22</f>
        <v>1.0220807369276619</v>
      </c>
      <c r="E22" s="6">
        <f>+'2003'!D22</f>
        <v>0.98560128537881597</v>
      </c>
      <c r="F22" s="6">
        <f>+'2004'!D22</f>
        <v>0.98565454756650017</v>
      </c>
      <c r="G22" s="6">
        <f>+'2005'!D22</f>
        <v>0.93444102346321267</v>
      </c>
      <c r="H22" s="6">
        <f>+'2006'!D22</f>
        <v>0.97727703984819736</v>
      </c>
      <c r="I22" s="6">
        <f>+'2007'!D22</f>
        <v>0.97316377788840114</v>
      </c>
      <c r="J22" s="6">
        <f>+'2008'!D22</f>
        <v>0.89133281972265022</v>
      </c>
      <c r="K22" s="6">
        <f>+'2009'!D22</f>
        <v>0.90533522971587344</v>
      </c>
      <c r="L22" s="6">
        <f>+'2010'!D22</f>
        <v>0.97809875713805849</v>
      </c>
      <c r="M22" s="6">
        <f>+'2011'!D22</f>
        <v>0.99562461241645417</v>
      </c>
      <c r="N22" s="6">
        <f>+'2012'!D22</f>
        <v>0.96487735970206756</v>
      </c>
      <c r="O22" s="6">
        <f>+'2013'!D22</f>
        <v>1.0939705882352941</v>
      </c>
      <c r="P22" s="6">
        <f>+'2014'!D22</f>
        <v>0.99635219704829159</v>
      </c>
      <c r="Q22" s="6">
        <f>+'2015'!D22</f>
        <v>0.97725692720230406</v>
      </c>
      <c r="R22" s="6">
        <f>+'2016'!D22</f>
        <v>0.98162962962962963</v>
      </c>
      <c r="S22" s="6">
        <f>+'2017'!D22</f>
        <v>0.96271127374106991</v>
      </c>
      <c r="T22" s="6">
        <f>+'2018'!D22</f>
        <v>0.90091670952712311</v>
      </c>
      <c r="U22" s="6">
        <f>+'2019'!D22</f>
        <v>0.92382742570712495</v>
      </c>
      <c r="V22" s="6">
        <f>+'2020'!D22</f>
        <v>0.94662459297055956</v>
      </c>
      <c r="W22" s="6">
        <f>+'2021'!D22</f>
        <v>1.0707289564288258</v>
      </c>
      <c r="X22" s="6">
        <f>+'2022'!E22</f>
        <v>0.99704812608718574</v>
      </c>
    </row>
    <row r="23" spans="2:24" s="7" customFormat="1" ht="20.100000000000001" customHeight="1" thickBot="1" x14ac:dyDescent="0.25">
      <c r="B23" s="5" t="s">
        <v>53</v>
      </c>
      <c r="C23" s="6">
        <f>+'2001'!D23</f>
        <v>0.99081797995559018</v>
      </c>
      <c r="D23" s="6">
        <f>+'2002'!D23</f>
        <v>0.96827597132559706</v>
      </c>
      <c r="E23" s="6">
        <f>+'2003'!D23</f>
        <v>0.95295629820051408</v>
      </c>
      <c r="F23" s="6">
        <f>+'2004'!D23</f>
        <v>1.031535298627082</v>
      </c>
      <c r="G23" s="6">
        <f>+'2005'!D23</f>
        <v>0.94612991653063105</v>
      </c>
      <c r="H23" s="6">
        <f>+'2006'!D23</f>
        <v>0.94312008312305184</v>
      </c>
      <c r="I23" s="6">
        <f>+'2007'!D23</f>
        <v>0.96293446902046986</v>
      </c>
      <c r="J23" s="6">
        <f>+'2008'!D23</f>
        <v>0.99691818021067524</v>
      </c>
      <c r="K23" s="6">
        <f>+'2009'!D23</f>
        <v>0.96542990735128587</v>
      </c>
      <c r="L23" s="6">
        <f>+'2010'!D23</f>
        <v>1.0092738407699038</v>
      </c>
      <c r="M23" s="6">
        <f>+'2011'!D23</f>
        <v>1.0735440856313498</v>
      </c>
      <c r="N23" s="6">
        <f>+'2012'!D23</f>
        <v>0.95970642659625338</v>
      </c>
      <c r="O23" s="6">
        <f>+'2013'!D23</f>
        <v>1.042137741046832</v>
      </c>
      <c r="P23" s="6">
        <f>+'2014'!D23</f>
        <v>1.0004242595660431</v>
      </c>
      <c r="Q23" s="6">
        <f>+'2015'!D23</f>
        <v>0.9627873178567331</v>
      </c>
      <c r="R23" s="6">
        <f>+'2016'!D23</f>
        <v>1.0018736498699468</v>
      </c>
      <c r="S23" s="6">
        <f>+'2017'!D23</f>
        <v>0.93270063957086857</v>
      </c>
      <c r="T23" s="6">
        <f>+'2018'!D23</f>
        <v>0.82791855748765109</v>
      </c>
      <c r="U23" s="6">
        <f>+'2019'!D23</f>
        <v>0.96528031576639139</v>
      </c>
      <c r="V23" s="6">
        <f>+'2020'!D23</f>
        <v>0.91158641856896216</v>
      </c>
      <c r="W23" s="6">
        <f>+'2021'!D23</f>
        <v>1.0262779289663899</v>
      </c>
      <c r="X23" s="6">
        <f>+'2022'!E23</f>
        <v>0.96322616114516091</v>
      </c>
    </row>
    <row r="24" spans="2:24" s="7" customFormat="1" ht="20.100000000000001" customHeight="1" thickBot="1" x14ac:dyDescent="0.25">
      <c r="B24" s="5" t="s">
        <v>54</v>
      </c>
      <c r="C24" s="6">
        <f>+'2001'!D24</f>
        <v>1.0743682310469314</v>
      </c>
      <c r="D24" s="6">
        <f>+'2002'!D24</f>
        <v>0.9057295136575616</v>
      </c>
      <c r="E24" s="6">
        <f>+'2003'!D24</f>
        <v>0.99908116385911183</v>
      </c>
      <c r="F24" s="6">
        <f>+'2004'!D24</f>
        <v>0.91547653745263768</v>
      </c>
      <c r="G24" s="6">
        <f>+'2005'!D24</f>
        <v>0.97068830149175611</v>
      </c>
      <c r="H24" s="6">
        <f>+'2006'!D24</f>
        <v>0.9073522106308991</v>
      </c>
      <c r="I24" s="6">
        <f>+'2007'!D24</f>
        <v>0.91852337265181305</v>
      </c>
      <c r="J24" s="6">
        <f>+'2008'!D24</f>
        <v>0.88884493670886078</v>
      </c>
      <c r="K24" s="6">
        <f>+'2009'!D24</f>
        <v>0.90141494924638577</v>
      </c>
      <c r="L24" s="6">
        <f>+'2010'!D24</f>
        <v>0.99544149924024983</v>
      </c>
      <c r="M24" s="6">
        <f>+'2011'!D24</f>
        <v>0.89764476713299102</v>
      </c>
      <c r="N24" s="6">
        <f>+'2012'!D24</f>
        <v>1.0686516507250849</v>
      </c>
      <c r="O24" s="6">
        <f>+'2013'!D24</f>
        <v>1.1205223222163403</v>
      </c>
      <c r="P24" s="6">
        <f>+'2014'!D24</f>
        <v>1.0202692003167062</v>
      </c>
      <c r="Q24" s="6">
        <f>+'2015'!D24</f>
        <v>0.88315254702732393</v>
      </c>
      <c r="R24" s="6">
        <f>+'2016'!D24</f>
        <v>0.91242527064146062</v>
      </c>
      <c r="S24" s="6">
        <f>+'2017'!D24</f>
        <v>0.95074914701082924</v>
      </c>
      <c r="T24" s="6">
        <f>+'2018'!D24</f>
        <v>0.85191434133679433</v>
      </c>
      <c r="U24" s="6">
        <f>+'2019'!D24</f>
        <v>0.93387603541845188</v>
      </c>
      <c r="V24" s="6">
        <f>+'2020'!D24</f>
        <v>0.87516087516087515</v>
      </c>
      <c r="W24" s="6">
        <f>+'2021'!D24</f>
        <v>0.91472976757210867</v>
      </c>
      <c r="X24" s="6">
        <f>+'2022'!E24</f>
        <v>0.92079114223526071</v>
      </c>
    </row>
    <row r="25" spans="2:24" s="7" customFormat="1" ht="20.100000000000001" customHeight="1" thickBot="1" x14ac:dyDescent="0.25">
      <c r="B25" s="5" t="s">
        <v>55</v>
      </c>
      <c r="C25" s="6">
        <f>+'2001'!D25</f>
        <v>1.0677128489682677</v>
      </c>
      <c r="D25" s="6">
        <f>+'2002'!D25</f>
        <v>1.0071284562211982</v>
      </c>
      <c r="E25" s="6">
        <f>+'2003'!D25</f>
        <v>0.89343009931245221</v>
      </c>
      <c r="F25" s="6">
        <f>+'2004'!D25</f>
        <v>0.92024117140396211</v>
      </c>
      <c r="G25" s="6">
        <f>+'2005'!D25</f>
        <v>0.94181173436492582</v>
      </c>
      <c r="H25" s="6">
        <f>+'2006'!D25</f>
        <v>0.9517183321778746</v>
      </c>
      <c r="I25" s="6">
        <f>+'2007'!D25</f>
        <v>0.94753727118324216</v>
      </c>
      <c r="J25" s="6">
        <f>+'2008'!D25</f>
        <v>0.8787571385632702</v>
      </c>
      <c r="K25" s="6">
        <f>+'2009'!D25</f>
        <v>0.90698766514307183</v>
      </c>
      <c r="L25" s="6">
        <f>+'2010'!D25</f>
        <v>0.98186669901146217</v>
      </c>
      <c r="M25" s="6">
        <f>+'2011'!D25</f>
        <v>1.0929383396486394</v>
      </c>
      <c r="N25" s="6">
        <f>+'2012'!D25</f>
        <v>1.0195348837209302</v>
      </c>
      <c r="O25" s="6">
        <f>+'2013'!D25</f>
        <v>1.0311030997066413</v>
      </c>
      <c r="P25" s="6">
        <f>+'2014'!D25</f>
        <v>0.98615271952599692</v>
      </c>
      <c r="Q25" s="6">
        <f>+'2015'!D25</f>
        <v>1.112694912584659</v>
      </c>
      <c r="R25" s="6">
        <f>+'2016'!D25</f>
        <v>0.97572873289708506</v>
      </c>
      <c r="S25" s="6">
        <f>+'2017'!D25</f>
        <v>0.89109990459315802</v>
      </c>
      <c r="T25" s="6">
        <f>+'2018'!D25</f>
        <v>0.9544047801440172</v>
      </c>
      <c r="U25" s="6">
        <f>+'2019'!D25</f>
        <v>0.93472449771492627</v>
      </c>
      <c r="V25" s="6">
        <f>+'2020'!D25</f>
        <v>0.90696265786365426</v>
      </c>
      <c r="W25" s="6">
        <f>+'2021'!D25</f>
        <v>0.91153632834165277</v>
      </c>
      <c r="X25" s="6">
        <f>+'2022'!E25</f>
        <v>0.95408758350121936</v>
      </c>
    </row>
    <row r="26" spans="2:24" s="7" customFormat="1" ht="20.100000000000001" customHeight="1" thickBot="1" x14ac:dyDescent="0.25">
      <c r="B26" s="5" t="s">
        <v>56</v>
      </c>
      <c r="C26" s="6">
        <f>+'2001'!D26</f>
        <v>0.96460905349794235</v>
      </c>
      <c r="D26" s="6">
        <f>+'2002'!D26</f>
        <v>0.97666804998386125</v>
      </c>
      <c r="E26" s="6">
        <f>+'2003'!D26</f>
        <v>0.93645707139786627</v>
      </c>
      <c r="F26" s="6">
        <f>+'2004'!D26</f>
        <v>0.96056137190888968</v>
      </c>
      <c r="G26" s="6">
        <f>+'2005'!D26</f>
        <v>0.93498500253204009</v>
      </c>
      <c r="H26" s="6">
        <f>+'2006'!D26</f>
        <v>0.96571903574397344</v>
      </c>
      <c r="I26" s="6">
        <f>+'2007'!D26</f>
        <v>1.0206416799401878</v>
      </c>
      <c r="J26" s="6">
        <f>+'2008'!D26</f>
        <v>0.92456251201890061</v>
      </c>
      <c r="K26" s="6">
        <f>+'2009'!D26</f>
        <v>0.93919973513692478</v>
      </c>
      <c r="L26" s="6">
        <f>+'2010'!D26</f>
        <v>0.9659535365911126</v>
      </c>
      <c r="M26" s="6">
        <f>+'2011'!D26</f>
        <v>1.0905635004784193</v>
      </c>
      <c r="N26" s="6">
        <f>+'2012'!D26</f>
        <v>0.98881599651407681</v>
      </c>
      <c r="O26" s="6">
        <f>+'2013'!D26</f>
        <v>1.0946507722379759</v>
      </c>
      <c r="P26" s="6">
        <f>+'2014'!D26</f>
        <v>1.0162363519588953</v>
      </c>
      <c r="Q26" s="6">
        <f>+'2015'!D26</f>
        <v>0.96512579006072619</v>
      </c>
      <c r="R26" s="6">
        <f>+'2016'!D26</f>
        <v>0.98646973765750878</v>
      </c>
      <c r="S26" s="6">
        <f>+'2017'!D26</f>
        <v>0.933580299684168</v>
      </c>
      <c r="T26" s="6">
        <f>+'2018'!D26</f>
        <v>0.91187358916478556</v>
      </c>
      <c r="U26" s="6">
        <f>+'2019'!D26</f>
        <v>1.0188629584137567</v>
      </c>
      <c r="V26" s="6">
        <f>+'2020'!D26</f>
        <v>0.96370372163974916</v>
      </c>
      <c r="W26" s="6">
        <f>+'2021'!D26</f>
        <v>1.0850149636596835</v>
      </c>
      <c r="X26" s="6">
        <f>+'2022'!E26</f>
        <v>0.99408395406997074</v>
      </c>
    </row>
    <row r="27" spans="2:24" ht="15" thickBot="1" x14ac:dyDescent="0.25">
      <c r="B27" s="5" t="s">
        <v>57</v>
      </c>
      <c r="C27" s="6">
        <f>+'2001'!D27</f>
        <v>1.0286081645773064</v>
      </c>
      <c r="D27" s="6">
        <f>+'2002'!D27</f>
        <v>0.96302765647743815</v>
      </c>
      <c r="E27" s="6">
        <f>+'2003'!D27</f>
        <v>0.92142345354669219</v>
      </c>
      <c r="F27" s="6">
        <f>+'2004'!D27</f>
        <v>0.89254658385093166</v>
      </c>
      <c r="G27" s="6">
        <f>+'2005'!D27</f>
        <v>1.0155292194523906</v>
      </c>
      <c r="H27" s="6">
        <f>+'2006'!D27</f>
        <v>0.9607136078952363</v>
      </c>
      <c r="I27" s="6">
        <f>+'2007'!D27</f>
        <v>0.95082242363209135</v>
      </c>
      <c r="J27" s="6">
        <f>+'2008'!D27</f>
        <v>0.80491367861885788</v>
      </c>
      <c r="K27" s="6">
        <f>+'2009'!D27</f>
        <v>0.75972911102632579</v>
      </c>
      <c r="L27" s="6">
        <f>+'2010'!D27</f>
        <v>0.96959890163773654</v>
      </c>
      <c r="M27" s="6">
        <f>+'2011'!D27</f>
        <v>1.0753856180751684</v>
      </c>
      <c r="N27" s="6">
        <f>+'2012'!D27</f>
        <v>1.1158831282952548</v>
      </c>
      <c r="O27" s="6">
        <f>+'2013'!D27</f>
        <v>1.0408864265927977</v>
      </c>
      <c r="P27" s="6">
        <f>+'2014'!D27</f>
        <v>1.0450488737781556</v>
      </c>
      <c r="Q27" s="6">
        <f>+'2015'!D27</f>
        <v>0.99124870612590577</v>
      </c>
      <c r="R27" s="6">
        <f>+'2016'!D27</f>
        <v>0.97418817651956702</v>
      </c>
      <c r="S27" s="6">
        <f>+'2017'!D27</f>
        <v>0.82537992449908049</v>
      </c>
      <c r="T27" s="6">
        <f>+'2018'!D27</f>
        <v>0.78732601365954868</v>
      </c>
      <c r="U27" s="6">
        <f>+'2019'!D27</f>
        <v>0.91045526955646849</v>
      </c>
      <c r="V27" s="6">
        <f>+'2020'!D27</f>
        <v>0.96419526678892675</v>
      </c>
      <c r="W27" s="6">
        <f>+'2021'!D27</f>
        <v>0.99767387764596416</v>
      </c>
      <c r="X27" s="6">
        <f>+'2022'!E27</f>
        <v>1.0505598442172612</v>
      </c>
    </row>
    <row r="28" spans="2:24" ht="15" thickBot="1" x14ac:dyDescent="0.25">
      <c r="B28" s="5" t="s">
        <v>58</v>
      </c>
      <c r="C28" s="6">
        <f>+'2001'!D28</f>
        <v>1.0863636363636364</v>
      </c>
      <c r="D28" s="6">
        <f>+'2002'!D28</f>
        <v>0.97792511112785352</v>
      </c>
      <c r="E28" s="6">
        <f>+'2003'!D28</f>
        <v>0.98894869034804445</v>
      </c>
      <c r="F28" s="6">
        <f>+'2004'!D28</f>
        <v>0.99829787234042555</v>
      </c>
      <c r="G28" s="6">
        <f>+'2005'!D28</f>
        <v>0.95556138166087701</v>
      </c>
      <c r="H28" s="6">
        <f>+'2006'!D28</f>
        <v>0.9593349358974359</v>
      </c>
      <c r="I28" s="6">
        <f>+'2007'!D28</f>
        <v>0.9915408233598596</v>
      </c>
      <c r="J28" s="6">
        <f>+'2008'!D28</f>
        <v>0.95215282352236663</v>
      </c>
      <c r="K28" s="6">
        <f>+'2009'!D28</f>
        <v>0.95199789695057835</v>
      </c>
      <c r="L28" s="6">
        <f>+'2010'!D28</f>
        <v>1.021965378379792</v>
      </c>
      <c r="M28" s="6">
        <f>+'2011'!D28</f>
        <v>1.0423780179816142</v>
      </c>
      <c r="N28" s="6">
        <f>+'2012'!D28</f>
        <v>1.0268096514745308</v>
      </c>
      <c r="O28" s="6">
        <f>+'2013'!D28</f>
        <v>1.0525343493822885</v>
      </c>
      <c r="P28" s="6">
        <f>+'2014'!D28</f>
        <v>1.0084566596194504</v>
      </c>
      <c r="Q28" s="6">
        <f>+'2015'!D28</f>
        <v>0.97489239598278332</v>
      </c>
      <c r="R28" s="6">
        <f>+'2016'!D28</f>
        <v>0.99090699815837935</v>
      </c>
      <c r="S28" s="6">
        <f>+'2017'!D28</f>
        <v>0.97619311261211383</v>
      </c>
      <c r="T28" s="6">
        <f>+'2018'!D28</f>
        <v>0.91632783030421794</v>
      </c>
      <c r="U28" s="6">
        <f>+'2019'!D28</f>
        <v>0.95067485762970272</v>
      </c>
      <c r="V28" s="6">
        <f>+'2020'!D28</f>
        <v>0.95563490510663274</v>
      </c>
      <c r="W28" s="6">
        <f>+'2021'!D28</f>
        <v>0.97380288619219413</v>
      </c>
      <c r="X28" s="6">
        <f>+'2022'!E28</f>
        <v>0.97224494742902157</v>
      </c>
    </row>
    <row r="29" spans="2:24" ht="15" thickBot="1" x14ac:dyDescent="0.25">
      <c r="B29" s="5" t="s">
        <v>59</v>
      </c>
      <c r="C29" s="6">
        <f>+'2001'!D29</f>
        <v>1.074604457789583</v>
      </c>
      <c r="D29" s="6">
        <f>+'2002'!D29</f>
        <v>1.0193561743090778</v>
      </c>
      <c r="E29" s="6">
        <f>+'2003'!D29</f>
        <v>0.94531045893930155</v>
      </c>
      <c r="F29" s="6">
        <f>+'2004'!D29</f>
        <v>0.95742052380168008</v>
      </c>
      <c r="G29" s="6">
        <f>+'2005'!D29</f>
        <v>0.92335794792071513</v>
      </c>
      <c r="H29" s="6">
        <f>+'2006'!D29</f>
        <v>0.95042862467387257</v>
      </c>
      <c r="I29" s="6">
        <f>+'2007'!D29</f>
        <v>0.94557922381091331</v>
      </c>
      <c r="J29" s="6">
        <f>+'2008'!D29</f>
        <v>0.87976740208654014</v>
      </c>
      <c r="K29" s="6">
        <f>+'2009'!D29</f>
        <v>0.91061982233755867</v>
      </c>
      <c r="L29" s="6">
        <f>+'2010'!D29</f>
        <v>0.93450540958268935</v>
      </c>
      <c r="M29" s="6">
        <f>+'2011'!D29</f>
        <v>0.96988046969617192</v>
      </c>
      <c r="N29" s="6">
        <f>+'2012'!D29</f>
        <v>0.99871025348479592</v>
      </c>
      <c r="O29" s="6">
        <f>+'2013'!D29</f>
        <v>1.1601090103900529</v>
      </c>
      <c r="P29" s="6">
        <f>+'2014'!D29</f>
        <v>1.0107273007237079</v>
      </c>
      <c r="Q29" s="6">
        <f>+'2015'!D29</f>
        <v>0.94621781115879833</v>
      </c>
      <c r="R29" s="6">
        <f>+'2016'!D29</f>
        <v>0.99076188499065809</v>
      </c>
      <c r="S29" s="6">
        <f>+'2017'!D29</f>
        <v>0.88011361227690876</v>
      </c>
      <c r="T29" s="6">
        <f>+'2018'!D29</f>
        <v>0.81293197869849299</v>
      </c>
      <c r="U29" s="6">
        <f>+'2019'!D29</f>
        <v>0.9309932338977982</v>
      </c>
      <c r="V29" s="6">
        <f>+'2020'!D29</f>
        <v>0.94407977783388031</v>
      </c>
      <c r="W29" s="6">
        <f>+'2021'!D29</f>
        <v>1.1252506980219434</v>
      </c>
      <c r="X29" s="6">
        <f>+'2022'!E29</f>
        <v>0.95728527814551645</v>
      </c>
    </row>
    <row r="30" spans="2:24" ht="15" thickBot="1" x14ac:dyDescent="0.25">
      <c r="B30" s="5" t="s">
        <v>60</v>
      </c>
      <c r="C30" s="6">
        <f>+'2001'!D30</f>
        <v>1.0719424460431655</v>
      </c>
      <c r="D30" s="6">
        <f>+'2002'!D30</f>
        <v>1.0300913487372381</v>
      </c>
      <c r="E30" s="6">
        <f>+'2003'!D30</f>
        <v>0.9697109826589595</v>
      </c>
      <c r="F30" s="6">
        <f>+'2004'!D30</f>
        <v>1.0242978154257691</v>
      </c>
      <c r="G30" s="6">
        <f>+'2005'!D30</f>
        <v>0.92743854084060273</v>
      </c>
      <c r="H30" s="6">
        <f>+'2006'!D30</f>
        <v>0.89718755820450735</v>
      </c>
      <c r="I30" s="6">
        <f>+'2007'!D30</f>
        <v>0.94112166946152409</v>
      </c>
      <c r="J30" s="6">
        <f>+'2008'!D30</f>
        <v>0.85123722032893767</v>
      </c>
      <c r="K30" s="6">
        <f>+'2009'!D30</f>
        <v>0.8476276343964837</v>
      </c>
      <c r="L30" s="6">
        <f>+'2010'!D30</f>
        <v>1.0111792282726288</v>
      </c>
      <c r="M30" s="6">
        <f>+'2011'!D30</f>
        <v>1.1077306733167083</v>
      </c>
      <c r="N30" s="6">
        <f>+'2012'!D30</f>
        <v>1.0341817287593753</v>
      </c>
      <c r="O30" s="6">
        <f>+'2013'!D30</f>
        <v>1.0683865683865683</v>
      </c>
      <c r="P30" s="6">
        <f>+'2014'!D30</f>
        <v>1.0314648334214702</v>
      </c>
      <c r="Q30" s="6">
        <f>+'2015'!D30</f>
        <v>1.0399332306111968</v>
      </c>
      <c r="R30" s="6">
        <f>+'2016'!D30</f>
        <v>1.0125821333706138</v>
      </c>
      <c r="S30" s="6">
        <f>+'2017'!D30</f>
        <v>0.92363679751819594</v>
      </c>
      <c r="T30" s="6">
        <f>+'2018'!D30</f>
        <v>0.91039381854436685</v>
      </c>
      <c r="U30" s="6">
        <f>+'2019'!D30</f>
        <v>0.94055663726949945</v>
      </c>
      <c r="V30" s="6">
        <f>+'2020'!D30</f>
        <v>0.97803152538165572</v>
      </c>
      <c r="W30" s="6">
        <f>+'2021'!D30</f>
        <v>1.0476032692732493</v>
      </c>
      <c r="X30" s="6">
        <f>+'2022'!E30</f>
        <v>0.96577097974369575</v>
      </c>
    </row>
    <row r="31" spans="2:24" ht="15" thickBot="1" x14ac:dyDescent="0.25">
      <c r="B31" s="5" t="s">
        <v>61</v>
      </c>
      <c r="C31" s="6">
        <f>+'2001'!D31</f>
        <v>1.0523623753792803</v>
      </c>
      <c r="D31" s="6">
        <f>+'2002'!D31</f>
        <v>0.99662771547329621</v>
      </c>
      <c r="E31" s="6">
        <f>+'2003'!D31</f>
        <v>0.96043557168784033</v>
      </c>
      <c r="F31" s="6">
        <f>+'2004'!D31</f>
        <v>0.97408400357462022</v>
      </c>
      <c r="G31" s="6">
        <f>+'2005'!D31</f>
        <v>0.9000623052959501</v>
      </c>
      <c r="H31" s="6">
        <f>+'2006'!D31</f>
        <v>0.93329886246122029</v>
      </c>
      <c r="I31" s="6">
        <f>+'2007'!D31</f>
        <v>0.99430633068380403</v>
      </c>
      <c r="J31" s="6">
        <f>+'2008'!D31</f>
        <v>0.90851383437515143</v>
      </c>
      <c r="K31" s="6">
        <f>+'2009'!D31</f>
        <v>0.93581303489137591</v>
      </c>
      <c r="L31" s="6">
        <f>+'2010'!D31</f>
        <v>0.97232576985413288</v>
      </c>
      <c r="M31" s="6">
        <f>+'2011'!D31</f>
        <v>1.038364553314121</v>
      </c>
      <c r="N31" s="6">
        <f>+'2012'!D31</f>
        <v>1.0004681847201533</v>
      </c>
      <c r="O31" s="6">
        <f>+'2013'!D31</f>
        <v>1.1192282894410555</v>
      </c>
      <c r="P31" s="6">
        <f>+'2014'!D31</f>
        <v>0.96515383307836133</v>
      </c>
      <c r="Q31" s="6">
        <f>+'2015'!D31</f>
        <v>0.95458818720621297</v>
      </c>
      <c r="R31" s="6">
        <f>+'2016'!D31</f>
        <v>1.0041707671399784</v>
      </c>
      <c r="S31" s="6">
        <f>+'2017'!D31</f>
        <v>0.85642782889924152</v>
      </c>
      <c r="T31" s="6">
        <f>+'2018'!D31</f>
        <v>0.85746839164951483</v>
      </c>
      <c r="U31" s="6">
        <f>+'2019'!D31</f>
        <v>0.99761164606869357</v>
      </c>
      <c r="V31" s="6">
        <f>+'2020'!D31</f>
        <v>0.96846553966189852</v>
      </c>
      <c r="W31" s="6">
        <f>+'2021'!D31</f>
        <v>1.0929531757070006</v>
      </c>
      <c r="X31" s="6">
        <f>+'2022'!E31</f>
        <v>0.98575280186085856</v>
      </c>
    </row>
    <row r="32" spans="2:24" ht="15" thickBot="1" x14ac:dyDescent="0.25">
      <c r="B32" s="5" t="s">
        <v>62</v>
      </c>
      <c r="C32" s="6">
        <f>+'2001'!D32</f>
        <v>1.0952513966480446</v>
      </c>
      <c r="D32" s="6">
        <f>+'2002'!D32</f>
        <v>1.0024338541257753</v>
      </c>
      <c r="E32" s="6">
        <f>+'2003'!D32</f>
        <v>0.9475439449732509</v>
      </c>
      <c r="F32" s="6">
        <f>+'2004'!D32</f>
        <v>0.96826693905345596</v>
      </c>
      <c r="G32" s="6">
        <f>+'2005'!D32</f>
        <v>0.98529507450061815</v>
      </c>
      <c r="H32" s="6">
        <f>+'2006'!D32</f>
        <v>0.97529511987343309</v>
      </c>
      <c r="I32" s="6">
        <f>+'2007'!D32</f>
        <v>0.96589399975854162</v>
      </c>
      <c r="J32" s="6">
        <f>+'2008'!D32</f>
        <v>0.92596426236652862</v>
      </c>
      <c r="K32" s="6">
        <f>+'2009'!D32</f>
        <v>0.99833487511563368</v>
      </c>
      <c r="L32" s="6">
        <f>+'2010'!D32</f>
        <v>1.0106704524638213</v>
      </c>
      <c r="M32" s="6">
        <f>+'2011'!D32</f>
        <v>1.0428267692619215</v>
      </c>
      <c r="N32" s="6">
        <f>+'2012'!D32</f>
        <v>0.91328135685952672</v>
      </c>
      <c r="O32" s="6">
        <f>+'2013'!D32</f>
        <v>1.0518625330449412</v>
      </c>
      <c r="P32" s="6">
        <f>+'2014'!D32</f>
        <v>0.98142804892916646</v>
      </c>
      <c r="Q32" s="6">
        <f>+'2015'!D32</f>
        <v>0.93467772333207688</v>
      </c>
      <c r="R32" s="6">
        <f>+'2016'!D32</f>
        <v>1.0690900671451724</v>
      </c>
      <c r="S32" s="6">
        <f>+'2017'!D32</f>
        <v>0.9703750856919009</v>
      </c>
      <c r="T32" s="6">
        <f>+'2018'!D32</f>
        <v>0.9007664562669071</v>
      </c>
      <c r="U32" s="6">
        <f>+'2019'!D32</f>
        <v>1.0056535030780183</v>
      </c>
      <c r="V32" s="6">
        <f>+'2020'!D32</f>
        <v>0.95028602560610187</v>
      </c>
      <c r="W32" s="6">
        <f>+'2021'!D32</f>
        <v>0.96302502234137621</v>
      </c>
      <c r="X32" s="6">
        <f>+'2022'!E32</f>
        <v>0.96000354735721882</v>
      </c>
    </row>
    <row r="33" spans="2:24" ht="15" thickBot="1" x14ac:dyDescent="0.25">
      <c r="B33" s="5" t="s">
        <v>63</v>
      </c>
      <c r="C33" s="6">
        <f>+'2001'!D33</f>
        <v>1.058988326848249</v>
      </c>
      <c r="D33" s="6">
        <f>+'2002'!D33</f>
        <v>1.0102431029773287</v>
      </c>
      <c r="E33" s="6">
        <f>+'2003'!D33</f>
        <v>0.87022554686614528</v>
      </c>
      <c r="F33" s="6">
        <f>+'2004'!D33</f>
        <v>0.92144460314221588</v>
      </c>
      <c r="G33" s="6">
        <f>+'2005'!D33</f>
        <v>0.97001445086705207</v>
      </c>
      <c r="H33" s="6">
        <f>+'2006'!D33</f>
        <v>0.89522793921620902</v>
      </c>
      <c r="I33" s="6">
        <f>+'2007'!D33</f>
        <v>0.86166253101736978</v>
      </c>
      <c r="J33" s="6">
        <f>+'2008'!D33</f>
        <v>0.85016196843338621</v>
      </c>
      <c r="K33" s="6">
        <f>+'2009'!D33</f>
        <v>0.87883194694898492</v>
      </c>
      <c r="L33" s="6">
        <f>+'2010'!D33</f>
        <v>0.92473625272587967</v>
      </c>
      <c r="M33" s="6">
        <f>+'2011'!D33</f>
        <v>1.0300393750793853</v>
      </c>
      <c r="N33" s="6">
        <f>+'2012'!D33</f>
        <v>1.0882186970969967</v>
      </c>
      <c r="O33" s="6">
        <f>+'2013'!D33</f>
        <v>1.1014397905759161</v>
      </c>
      <c r="P33" s="6">
        <f>+'2014'!D33</f>
        <v>0.96661900913781318</v>
      </c>
      <c r="Q33" s="6">
        <f>+'2015'!D33</f>
        <v>1.0872174155735417</v>
      </c>
      <c r="R33" s="6">
        <f>+'2016'!D33</f>
        <v>1.0265022675736961</v>
      </c>
      <c r="S33" s="6">
        <f>+'2017'!D33</f>
        <v>0.90831735378715239</v>
      </c>
      <c r="T33" s="6">
        <f>+'2018'!D33</f>
        <v>0.90550879877582247</v>
      </c>
      <c r="U33" s="6">
        <f>+'2019'!D33</f>
        <v>0.91895443925233644</v>
      </c>
      <c r="V33" s="6">
        <f>+'2020'!D33</f>
        <v>0.94773154923688063</v>
      </c>
      <c r="W33" s="6">
        <f>+'2021'!D33</f>
        <v>1.0065733577784735</v>
      </c>
      <c r="X33" s="6">
        <f>+'2022'!E33</f>
        <v>0.94057342036018177</v>
      </c>
    </row>
    <row r="34" spans="2:24" ht="15" thickBot="1" x14ac:dyDescent="0.25">
      <c r="B34" s="5" t="s">
        <v>64</v>
      </c>
      <c r="C34" s="6">
        <f>+'2001'!D34</f>
        <v>1.1013089474627935</v>
      </c>
      <c r="D34" s="6">
        <f>+'2002'!D34</f>
        <v>0.97580254879819328</v>
      </c>
      <c r="E34" s="6">
        <f>+'2003'!D34</f>
        <v>1.0144500561167227</v>
      </c>
      <c r="F34" s="6">
        <f>+'2004'!D34</f>
        <v>0.92338267543859653</v>
      </c>
      <c r="G34" s="6">
        <f>+'2005'!D34</f>
        <v>0.94395480225988704</v>
      </c>
      <c r="H34" s="6">
        <f>+'2006'!D34</f>
        <v>0.96229293809938976</v>
      </c>
      <c r="I34" s="6">
        <f>+'2007'!D34</f>
        <v>0.9664380714879468</v>
      </c>
      <c r="J34" s="6">
        <f>+'2008'!D34</f>
        <v>0.8783372761067928</v>
      </c>
      <c r="K34" s="6">
        <f>+'2009'!D34</f>
        <v>1.0390822340724108</v>
      </c>
      <c r="L34" s="6">
        <f>+'2010'!D34</f>
        <v>0.99262645627488566</v>
      </c>
      <c r="M34" s="6">
        <f>+'2011'!D34</f>
        <v>1.0399293880295897</v>
      </c>
      <c r="N34" s="6">
        <f>+'2012'!D34</f>
        <v>1.0131634107487213</v>
      </c>
      <c r="O34" s="6">
        <f>+'2013'!D34</f>
        <v>1.0247146580390043</v>
      </c>
      <c r="P34" s="6">
        <f>+'2014'!D34</f>
        <v>0.94747657405885255</v>
      </c>
      <c r="Q34" s="6">
        <f>+'2015'!D34</f>
        <v>0.91543036849661585</v>
      </c>
      <c r="R34" s="6">
        <f>+'2016'!D34</f>
        <v>1.1012199434229137</v>
      </c>
      <c r="S34" s="6">
        <f>+'2017'!D34</f>
        <v>0.94432203389830505</v>
      </c>
      <c r="T34" s="6">
        <f>+'2018'!D34</f>
        <v>0.9443965179201631</v>
      </c>
      <c r="U34" s="6">
        <f>+'2019'!D34</f>
        <v>0.97437864375575334</v>
      </c>
      <c r="V34" s="6">
        <f>+'2020'!D34</f>
        <v>0.96659149753612295</v>
      </c>
      <c r="W34" s="6">
        <f>+'2021'!D34</f>
        <v>1.0165283075312244</v>
      </c>
      <c r="X34" s="6">
        <f>+'2022'!E34</f>
        <v>0.97081739623176089</v>
      </c>
    </row>
    <row r="35" spans="2:24" ht="15" thickBot="1" x14ac:dyDescent="0.25">
      <c r="B35" s="5" t="s">
        <v>65</v>
      </c>
      <c r="C35" s="6">
        <f>+'2001'!D35</f>
        <v>1.0717612809315866</v>
      </c>
      <c r="D35" s="6">
        <f>+'2002'!D35</f>
        <v>1.0213859020310634</v>
      </c>
      <c r="E35" s="6">
        <f>+'2003'!D35</f>
        <v>0.98393184514180954</v>
      </c>
      <c r="F35" s="6">
        <f>+'2004'!D35</f>
        <v>1.0210591514400744</v>
      </c>
      <c r="G35" s="6">
        <f>+'2005'!D35</f>
        <v>0.98266009852216751</v>
      </c>
      <c r="H35" s="6">
        <f>+'2006'!D35</f>
        <v>0.98490081910589167</v>
      </c>
      <c r="I35" s="6">
        <f>+'2007'!D35</f>
        <v>0.973629292354392</v>
      </c>
      <c r="J35" s="6">
        <f>+'2008'!D35</f>
        <v>1.0245441189179847</v>
      </c>
      <c r="K35" s="6">
        <f>+'2009'!D35</f>
        <v>0.98932747390724318</v>
      </c>
      <c r="L35" s="6">
        <f>+'2010'!D35</f>
        <v>0.99808322019008067</v>
      </c>
      <c r="M35" s="6">
        <f>+'2011'!D35</f>
        <v>0.97682889026658404</v>
      </c>
      <c r="N35" s="6">
        <f>+'2012'!D35</f>
        <v>0.95528687938188583</v>
      </c>
      <c r="O35" s="6">
        <f>+'2013'!D35</f>
        <v>0.99807252998286689</v>
      </c>
      <c r="P35" s="6">
        <f>+'2014'!D35</f>
        <v>0.9930227922121071</v>
      </c>
      <c r="Q35" s="6">
        <f>+'2015'!D35</f>
        <v>0.99152998117773594</v>
      </c>
      <c r="R35" s="6">
        <f>+'2016'!D35</f>
        <v>0.96278128163201748</v>
      </c>
      <c r="S35" s="6">
        <f>+'2017'!D35</f>
        <v>0.95822296223416337</v>
      </c>
      <c r="T35" s="6">
        <f>+'2018'!D35</f>
        <v>0.90753696357735303</v>
      </c>
      <c r="U35" s="6">
        <f>+'2019'!D35</f>
        <v>0.94228731692115919</v>
      </c>
      <c r="V35" s="6">
        <f>+'2020'!D35</f>
        <v>0.92772946859903382</v>
      </c>
      <c r="W35" s="6">
        <f>+'2021'!D35</f>
        <v>1.0145205320322936</v>
      </c>
      <c r="X35" s="6">
        <f>+'2022'!E35</f>
        <v>0.97216545697977597</v>
      </c>
    </row>
    <row r="36" spans="2:24" ht="15" thickBot="1" x14ac:dyDescent="0.25">
      <c r="B36" s="5" t="s">
        <v>32</v>
      </c>
      <c r="C36" s="6">
        <f>+'2001'!D36</f>
        <v>1.0431261828674259</v>
      </c>
      <c r="D36" s="6">
        <f>+'2002'!D36</f>
        <v>0.9930637232727163</v>
      </c>
      <c r="E36" s="6">
        <f>+'2003'!D36</f>
        <v>0.93210613177605683</v>
      </c>
      <c r="F36" s="6">
        <f>+'2004'!D36</f>
        <v>0.96994658959394475</v>
      </c>
      <c r="G36" s="6">
        <f>+'2005'!D36</f>
        <v>0.94898804789739766</v>
      </c>
      <c r="H36" s="6">
        <f>+'2006'!D36</f>
        <v>0.97570452511405559</v>
      </c>
      <c r="I36" s="6">
        <f>+'2007'!D36</f>
        <v>0.95532758803717388</v>
      </c>
      <c r="J36" s="6">
        <f>+'2008'!D36</f>
        <v>0.91432653483797499</v>
      </c>
      <c r="K36" s="6">
        <f>+'2009'!D36</f>
        <v>0.87902782321780348</v>
      </c>
      <c r="L36" s="6">
        <f>+'2010'!D36</f>
        <v>0.92629419243237621</v>
      </c>
      <c r="M36" s="6">
        <f>+'2011'!D36</f>
        <v>1.0993278766419889</v>
      </c>
      <c r="N36" s="6">
        <f>+'2012'!D36</f>
        <v>1.0471640891096572</v>
      </c>
      <c r="O36" s="6">
        <f>+'2013'!D36</f>
        <v>1.0901293446350042</v>
      </c>
      <c r="P36" s="6">
        <f>+'2014'!D36</f>
        <v>1.005614893932651</v>
      </c>
      <c r="Q36" s="6">
        <f>+'2015'!D36</f>
        <v>0.9160547204249565</v>
      </c>
      <c r="R36" s="6">
        <f>+'2016'!D36</f>
        <v>1.0642406731063356</v>
      </c>
      <c r="S36" s="6">
        <f>+'2017'!D36</f>
        <v>0.96781820118692929</v>
      </c>
      <c r="T36" s="6">
        <f>+'2018'!D36</f>
        <v>0.92153193460689775</v>
      </c>
      <c r="U36" s="6">
        <f>+'2019'!D36</f>
        <v>0.91914700669149063</v>
      </c>
      <c r="V36" s="6">
        <f>+'2020'!D36</f>
        <v>0.82688635241178732</v>
      </c>
      <c r="W36" s="6">
        <f>+'2021'!D36</f>
        <v>0.94254516522225851</v>
      </c>
      <c r="X36" s="6">
        <f>+'2022'!E36</f>
        <v>1.0075860044247325</v>
      </c>
    </row>
    <row r="37" spans="2:24" ht="15" thickBot="1" x14ac:dyDescent="0.25">
      <c r="B37" s="5" t="s">
        <v>66</v>
      </c>
      <c r="C37" s="6">
        <f>+'2001'!D37</f>
        <v>0.97552122526669915</v>
      </c>
      <c r="D37" s="6">
        <f>+'2002'!D37</f>
        <v>0.93531848259837347</v>
      </c>
      <c r="E37" s="6">
        <f>+'2003'!D37</f>
        <v>0.92728162248710189</v>
      </c>
      <c r="F37" s="6">
        <f>+'2004'!D37</f>
        <v>0.96747512437810945</v>
      </c>
      <c r="G37" s="6">
        <f>+'2005'!D37</f>
        <v>0.91593507857553358</v>
      </c>
      <c r="H37" s="6">
        <f>+'2006'!D37</f>
        <v>0.94182047357522281</v>
      </c>
      <c r="I37" s="6">
        <f>+'2007'!D37</f>
        <v>0.94265155183064264</v>
      </c>
      <c r="J37" s="6">
        <f>+'2008'!D37</f>
        <v>0.8581821617535903</v>
      </c>
      <c r="K37" s="6">
        <f>+'2009'!D37</f>
        <v>0.87855919255521087</v>
      </c>
      <c r="L37" s="6">
        <f>+'2010'!D37</f>
        <v>0.93066025918418471</v>
      </c>
      <c r="M37" s="6">
        <f>+'2011'!D37</f>
        <v>1.0231151809845858</v>
      </c>
      <c r="N37" s="6">
        <f>+'2012'!D37</f>
        <v>1.0356518825247134</v>
      </c>
      <c r="O37" s="6">
        <f>+'2013'!D37</f>
        <v>1.1865481704009679</v>
      </c>
      <c r="P37" s="6">
        <f>+'2014'!D37</f>
        <v>1.06571155188911</v>
      </c>
      <c r="Q37" s="6">
        <f>+'2015'!D37</f>
        <v>0.98549309871859825</v>
      </c>
      <c r="R37" s="6">
        <f>+'2016'!D37</f>
        <v>1.0044370417901074</v>
      </c>
      <c r="S37" s="6">
        <f>+'2017'!D37</f>
        <v>0.93580548597959556</v>
      </c>
      <c r="T37" s="6">
        <f>+'2018'!D37</f>
        <v>0.95098996714907214</v>
      </c>
      <c r="U37" s="6">
        <f>+'2019'!D37</f>
        <v>0.99046731253676024</v>
      </c>
      <c r="V37" s="6">
        <f>+'2020'!D37</f>
        <v>0.93281432554050459</v>
      </c>
      <c r="W37" s="6">
        <f>+'2021'!D37</f>
        <v>1.0266871901487287</v>
      </c>
      <c r="X37" s="6">
        <f>+'2022'!E37</f>
        <v>0.99239694211260854</v>
      </c>
    </row>
    <row r="38" spans="2:24" ht="15" thickBot="1" x14ac:dyDescent="0.25">
      <c r="B38" s="5" t="s">
        <v>33</v>
      </c>
      <c r="C38" s="6">
        <f>+'2001'!D38</f>
        <v>1.0140041149532091</v>
      </c>
      <c r="D38" s="6">
        <f>+'2002'!D38</f>
        <v>0.92527970644314139</v>
      </c>
      <c r="E38" s="6">
        <f>+'2003'!D38</f>
        <v>0.94256099505660984</v>
      </c>
      <c r="F38" s="6">
        <f>+'2004'!D38</f>
        <v>0.92574525745257452</v>
      </c>
      <c r="G38" s="6">
        <f>+'2005'!D38</f>
        <v>0.92696393991730774</v>
      </c>
      <c r="H38" s="6">
        <f>+'2006'!D38</f>
        <v>0.97567057045712124</v>
      </c>
      <c r="I38" s="6">
        <f>+'2007'!D38</f>
        <v>0.94316061432467346</v>
      </c>
      <c r="J38" s="6">
        <f>+'2008'!D38</f>
        <v>0.76540124036835178</v>
      </c>
      <c r="K38" s="6">
        <f>+'2009'!D38</f>
        <v>0.83685755135826623</v>
      </c>
      <c r="L38" s="6">
        <f>+'2010'!D38</f>
        <v>0.84851398236007192</v>
      </c>
      <c r="M38" s="6">
        <f>+'2011'!D38</f>
        <v>1.0412995506016141</v>
      </c>
      <c r="N38" s="6">
        <f>+'2012'!D38</f>
        <v>1.0283367257923814</v>
      </c>
      <c r="O38" s="6">
        <f>+'2013'!D38</f>
        <v>1.0952404111143534</v>
      </c>
      <c r="P38" s="6">
        <f>+'2014'!D38</f>
        <v>1.0435771349252057</v>
      </c>
      <c r="Q38" s="6">
        <f>+'2015'!D38</f>
        <v>0.93634285541274964</v>
      </c>
      <c r="R38" s="6">
        <f>+'2016'!D38</f>
        <v>1.0303830486096575</v>
      </c>
      <c r="S38" s="6">
        <f>+'2017'!D38</f>
        <v>0.96535475403614746</v>
      </c>
      <c r="T38" s="6">
        <f>+'2018'!D38</f>
        <v>0.93197524795419717</v>
      </c>
      <c r="U38" s="6">
        <f>+'2019'!D38</f>
        <v>0.87026074791777308</v>
      </c>
      <c r="V38" s="6">
        <f>+'2020'!D38</f>
        <v>0.91856507657682385</v>
      </c>
      <c r="W38" s="6">
        <f>+'2021'!D38</f>
        <v>1.0049287184099955</v>
      </c>
      <c r="X38" s="6">
        <f>+'2022'!E38</f>
        <v>0.97691253602986339</v>
      </c>
    </row>
    <row r="39" spans="2:24" ht="15" thickBot="1" x14ac:dyDescent="0.25">
      <c r="B39" s="5" t="s">
        <v>34</v>
      </c>
      <c r="C39" s="6">
        <f>+'2001'!D39</f>
        <v>1.0862863217576186</v>
      </c>
      <c r="D39" s="6">
        <f>+'2002'!D39</f>
        <v>0.96251782440415568</v>
      </c>
      <c r="E39" s="6">
        <f>+'2003'!D39</f>
        <v>0.95524763598913964</v>
      </c>
      <c r="F39" s="6">
        <f>+'2004'!D39</f>
        <v>0.95849469607678062</v>
      </c>
      <c r="G39" s="6">
        <f>+'2005'!D39</f>
        <v>0.95215199689802243</v>
      </c>
      <c r="H39" s="6">
        <f>+'2006'!D39</f>
        <v>0.95379300417446378</v>
      </c>
      <c r="I39" s="6">
        <f>+'2007'!D39</f>
        <v>1.0036814159292036</v>
      </c>
      <c r="J39" s="6">
        <f>+'2008'!D39</f>
        <v>0.9297829232995658</v>
      </c>
      <c r="K39" s="6">
        <f>+'2009'!D39</f>
        <v>0.91588306489153715</v>
      </c>
      <c r="L39" s="6">
        <f>+'2010'!D39</f>
        <v>1.0397762290807377</v>
      </c>
      <c r="M39" s="6">
        <f>+'2011'!D39</f>
        <v>1.0951630691665353</v>
      </c>
      <c r="N39" s="6">
        <f>+'2012'!D39</f>
        <v>0.96999533606260036</v>
      </c>
      <c r="O39" s="6">
        <f>+'2013'!D39</f>
        <v>1.0386537820726425</v>
      </c>
      <c r="P39" s="6">
        <f>+'2014'!D39</f>
        <v>0.98355826906598109</v>
      </c>
      <c r="Q39" s="6">
        <f>+'2015'!D39</f>
        <v>0.97542692613185067</v>
      </c>
      <c r="R39" s="6">
        <f>+'2016'!D39</f>
        <v>1.0192746226517537</v>
      </c>
      <c r="S39" s="6">
        <f>+'2017'!D39</f>
        <v>0.94456289978678043</v>
      </c>
      <c r="T39" s="6">
        <f>+'2018'!D39</f>
        <v>0.96396972080220211</v>
      </c>
      <c r="U39" s="6">
        <f>+'2019'!D39</f>
        <v>0.9346574162245499</v>
      </c>
      <c r="V39" s="6">
        <f>+'2020'!D39</f>
        <v>0.95203367431843766</v>
      </c>
      <c r="W39" s="6">
        <f>+'2021'!D39</f>
        <v>1.0432917785705695</v>
      </c>
      <c r="X39" s="6">
        <f>+'2022'!E39</f>
        <v>0.96462135214640876</v>
      </c>
    </row>
    <row r="40" spans="2:24" ht="15" thickBot="1" x14ac:dyDescent="0.25">
      <c r="B40" s="5" t="s">
        <v>67</v>
      </c>
      <c r="C40" s="6">
        <f>+'2001'!D40</f>
        <v>1.0787044281020184</v>
      </c>
      <c r="D40" s="6">
        <f>+'2002'!D40</f>
        <v>1.0464369158878504</v>
      </c>
      <c r="E40" s="6">
        <f>+'2003'!D40</f>
        <v>0.98512962231872614</v>
      </c>
      <c r="F40" s="6">
        <f>+'2004'!D40</f>
        <v>0.9540746287283165</v>
      </c>
      <c r="G40" s="6">
        <f>+'2005'!D40</f>
        <v>0.95846830171217035</v>
      </c>
      <c r="H40" s="6">
        <f>+'2006'!D40</f>
        <v>0.94808965276971313</v>
      </c>
      <c r="I40" s="6">
        <f>+'2007'!D40</f>
        <v>0.94138039710053578</v>
      </c>
      <c r="J40" s="6">
        <f>+'2008'!D40</f>
        <v>0.98293113596233084</v>
      </c>
      <c r="K40" s="6">
        <f>+'2009'!D40</f>
        <v>0.9538407637733205</v>
      </c>
      <c r="L40" s="6">
        <f>+'2010'!D40</f>
        <v>1.0418480675255442</v>
      </c>
      <c r="M40" s="6">
        <f>+'2011'!D40</f>
        <v>1.0560488346281909</v>
      </c>
      <c r="N40" s="6">
        <f>+'2012'!D40</f>
        <v>0.97651339728746278</v>
      </c>
      <c r="O40" s="6">
        <f>+'2013'!D40</f>
        <v>0.97136748873787893</v>
      </c>
      <c r="P40" s="6">
        <f>+'2014'!D40</f>
        <v>0.99261581330546844</v>
      </c>
      <c r="Q40" s="6">
        <f>+'2015'!D40</f>
        <v>0.96645006356830065</v>
      </c>
      <c r="R40" s="6">
        <f>+'2016'!D40</f>
        <v>0.97983099489795922</v>
      </c>
      <c r="S40" s="6">
        <f>+'2017'!D40</f>
        <v>0.93386263201258335</v>
      </c>
      <c r="T40" s="6">
        <f>+'2018'!D40</f>
        <v>0.84508713385242862</v>
      </c>
      <c r="U40" s="6">
        <f>+'2019'!D40</f>
        <v>0.975886524822695</v>
      </c>
      <c r="V40" s="6">
        <f>+'2020'!D40</f>
        <v>0.92744642396075394</v>
      </c>
      <c r="W40" s="6">
        <f>+'2021'!D40</f>
        <v>1.0405078597339783</v>
      </c>
      <c r="X40" s="6">
        <f>+'2022'!E40</f>
        <v>1.0000771010023131</v>
      </c>
    </row>
    <row r="41" spans="2:24" ht="15" thickBot="1" x14ac:dyDescent="0.25">
      <c r="B41" s="5" t="s">
        <v>31</v>
      </c>
      <c r="C41" s="6">
        <f>+'2001'!D41</f>
        <v>1.0482263701940953</v>
      </c>
      <c r="D41" s="6">
        <f>+'2002'!D41</f>
        <v>1.009513093289689</v>
      </c>
      <c r="E41" s="6">
        <f>+'2003'!D41</f>
        <v>0.97585272050942562</v>
      </c>
      <c r="F41" s="6">
        <f>+'2004'!D41</f>
        <v>0.98406603374251678</v>
      </c>
      <c r="G41" s="6">
        <f>+'2005'!D41</f>
        <v>0.96035740237371159</v>
      </c>
      <c r="H41" s="6">
        <f>+'2006'!D41</f>
        <v>0.97678942249559708</v>
      </c>
      <c r="I41" s="6">
        <f>+'2007'!D41</f>
        <v>0.98440703708391342</v>
      </c>
      <c r="J41" s="6">
        <f>+'2008'!D41</f>
        <v>0.96270026288378552</v>
      </c>
      <c r="K41" s="6">
        <f>+'2009'!D41</f>
        <v>1.0314252437235787</v>
      </c>
      <c r="L41" s="6">
        <f>+'2010'!D41</f>
        <v>0.99664851277754507</v>
      </c>
      <c r="M41" s="6">
        <f>+'2011'!D41</f>
        <v>1.0464550287141607</v>
      </c>
      <c r="N41" s="6">
        <f>+'2012'!D41</f>
        <v>0.98857494833889681</v>
      </c>
      <c r="O41" s="6">
        <f>+'2013'!D41</f>
        <v>1.0578110263225584</v>
      </c>
      <c r="P41" s="6">
        <f>+'2014'!D41</f>
        <v>0.98919936402346531</v>
      </c>
      <c r="Q41" s="6">
        <f>+'2015'!D41</f>
        <v>0.96623751739199348</v>
      </c>
      <c r="R41" s="6">
        <f>+'2016'!D41</f>
        <v>1.0257251160611611</v>
      </c>
      <c r="S41" s="6">
        <f>+'2017'!D41</f>
        <v>0.93830673274416321</v>
      </c>
      <c r="T41" s="6">
        <f>+'2018'!D41</f>
        <v>0.92086787010475935</v>
      </c>
      <c r="U41" s="6">
        <f>+'2019'!D41</f>
        <v>0.97780603936287358</v>
      </c>
      <c r="V41" s="6">
        <f>+'2020'!D41</f>
        <v>0.95192719486081367</v>
      </c>
      <c r="W41" s="6">
        <f>+'2021'!D41</f>
        <v>1.0245142195341654</v>
      </c>
      <c r="X41" s="6">
        <f>+'2022'!E41</f>
        <v>0.97392246652917114</v>
      </c>
    </row>
    <row r="42" spans="2:24" ht="15" thickBot="1" x14ac:dyDescent="0.25">
      <c r="B42" s="5" t="s">
        <v>68</v>
      </c>
      <c r="C42" s="6">
        <f>+'2001'!D42</f>
        <v>1.0582750582750582</v>
      </c>
      <c r="D42" s="6">
        <f>+'2002'!D42</f>
        <v>0.90940446079558523</v>
      </c>
      <c r="E42" s="6">
        <f>+'2003'!D42</f>
        <v>0.94668757350058796</v>
      </c>
      <c r="F42" s="6">
        <f>+'2004'!D42</f>
        <v>0.97692624639472603</v>
      </c>
      <c r="G42" s="6">
        <f>+'2005'!D42</f>
        <v>0.91358483553242886</v>
      </c>
      <c r="H42" s="6">
        <f>+'2006'!D42</f>
        <v>0.90230615580170692</v>
      </c>
      <c r="I42" s="6">
        <f>+'2007'!D42</f>
        <v>0.98798856053384176</v>
      </c>
      <c r="J42" s="6">
        <f>+'2008'!D42</f>
        <v>0.90922946655376802</v>
      </c>
      <c r="K42" s="6">
        <f>+'2009'!D42</f>
        <v>1.024254005585771</v>
      </c>
      <c r="L42" s="6">
        <f>+'2010'!D42</f>
        <v>1.0213371266002844</v>
      </c>
      <c r="M42" s="6">
        <f>+'2011'!D42</f>
        <v>0.97817896389324965</v>
      </c>
      <c r="N42" s="6">
        <f>+'2012'!D42</f>
        <v>1.0111572021170077</v>
      </c>
      <c r="O42" s="6">
        <f>+'2013'!D42</f>
        <v>0.9988114693210518</v>
      </c>
      <c r="P42" s="6">
        <f>+'2014'!D42</f>
        <v>0.94952869585968258</v>
      </c>
      <c r="Q42" s="6">
        <f>+'2015'!D42</f>
        <v>1.0012417732522041</v>
      </c>
      <c r="R42" s="6">
        <f>+'2016'!D42</f>
        <v>1.0704935914916827</v>
      </c>
      <c r="S42" s="6">
        <f>+'2017'!D42</f>
        <v>0.79837650710278141</v>
      </c>
      <c r="T42" s="6">
        <f>+'2018'!D42</f>
        <v>0.76852193144120895</v>
      </c>
      <c r="U42" s="6">
        <f>+'2019'!D42</f>
        <v>1.0657584490437517</v>
      </c>
      <c r="V42" s="6">
        <f>+'2020'!D42</f>
        <v>1.050365906155833</v>
      </c>
      <c r="W42" s="6">
        <f>+'2021'!D42</f>
        <v>1.1678929765886288</v>
      </c>
      <c r="X42" s="6">
        <f>+'2022'!E42</f>
        <v>0.98517560441747087</v>
      </c>
    </row>
    <row r="43" spans="2:24" ht="15" thickBot="1" x14ac:dyDescent="0.25">
      <c r="B43" s="5" t="s">
        <v>69</v>
      </c>
      <c r="C43" s="6">
        <f>+'2001'!D43</f>
        <v>1.0062896885394617</v>
      </c>
      <c r="D43" s="6">
        <f>+'2002'!D43</f>
        <v>0.9476321905868681</v>
      </c>
      <c r="E43" s="6">
        <f>+'2003'!D43</f>
        <v>0.871231583914434</v>
      </c>
      <c r="F43" s="6">
        <f>+'2004'!D43</f>
        <v>0.98385103634218951</v>
      </c>
      <c r="G43" s="6">
        <f>+'2005'!D43</f>
        <v>0.87497587338351668</v>
      </c>
      <c r="H43" s="6">
        <f>+'2006'!D43</f>
        <v>0.91755642970871965</v>
      </c>
      <c r="I43" s="6">
        <f>+'2007'!D43</f>
        <v>0.98125331061007348</v>
      </c>
      <c r="J43" s="6">
        <f>+'2008'!D43</f>
        <v>0.92182574219127744</v>
      </c>
      <c r="K43" s="6">
        <f>+'2009'!D43</f>
        <v>0.88020045067769814</v>
      </c>
      <c r="L43" s="6">
        <f>+'2010'!D43</f>
        <v>0.96594985125371868</v>
      </c>
      <c r="M43" s="6">
        <f>+'2011'!D43</f>
        <v>1.1698800181104738</v>
      </c>
      <c r="N43" s="6">
        <f>+'2012'!D43</f>
        <v>1.0830826026765112</v>
      </c>
      <c r="O43" s="6">
        <f>+'2013'!D43</f>
        <v>1.1498516651424238</v>
      </c>
      <c r="P43" s="6">
        <f>+'2014'!D43</f>
        <v>1.0382449302982932</v>
      </c>
      <c r="Q43" s="6">
        <f>+'2015'!D43</f>
        <v>0.95208458573499766</v>
      </c>
      <c r="R43" s="6">
        <f>+'2016'!D43</f>
        <v>0.97928938930728504</v>
      </c>
      <c r="S43" s="6">
        <f>+'2017'!D43</f>
        <v>0.87475289931470745</v>
      </c>
      <c r="T43" s="6">
        <f>+'2018'!D43</f>
        <v>0.94035025597899058</v>
      </c>
      <c r="U43" s="6">
        <f>+'2019'!D43</f>
        <v>1.0020213181689552</v>
      </c>
      <c r="V43" s="6">
        <f>+'2020'!D43</f>
        <v>0.92611513107251331</v>
      </c>
      <c r="W43" s="6">
        <f>+'2021'!D43</f>
        <v>0.97374212034383956</v>
      </c>
      <c r="X43" s="6">
        <f>+'2022'!E43</f>
        <v>0.99244762662423758</v>
      </c>
    </row>
    <row r="44" spans="2:24" ht="15" thickBot="1" x14ac:dyDescent="0.25">
      <c r="B44" s="5" t="s">
        <v>70</v>
      </c>
      <c r="C44" s="6">
        <f>+'2001'!D44</f>
        <v>1.0693035604874397</v>
      </c>
      <c r="D44" s="6">
        <f>+'2002'!D44</f>
        <v>0.98165287902367104</v>
      </c>
      <c r="E44" s="6">
        <f>+'2003'!D44</f>
        <v>0.97442823698901493</v>
      </c>
      <c r="F44" s="6">
        <f>+'2004'!D44</f>
        <v>1.0069479444164446</v>
      </c>
      <c r="G44" s="6">
        <f>+'2005'!D44</f>
        <v>0.96115982400050648</v>
      </c>
      <c r="H44" s="6">
        <f>+'2006'!D44</f>
        <v>0.95234055446144528</v>
      </c>
      <c r="I44" s="6">
        <f>+'2007'!D44</f>
        <v>0.97335845774749963</v>
      </c>
      <c r="J44" s="6">
        <f>+'2008'!D44</f>
        <v>0.96551814558422488</v>
      </c>
      <c r="K44" s="6">
        <f>+'2009'!D44</f>
        <v>0.93534925087227205</v>
      </c>
      <c r="L44" s="6">
        <f>+'2010'!D44</f>
        <v>1.0144226442264423</v>
      </c>
      <c r="M44" s="6">
        <f>+'2011'!D44</f>
        <v>1.0069850552306692</v>
      </c>
      <c r="N44" s="6">
        <f>+'2012'!D44</f>
        <v>0.9704171617987366</v>
      </c>
      <c r="O44" s="6">
        <f>+'2013'!D44</f>
        <v>1.0418491917013186</v>
      </c>
      <c r="P44" s="6">
        <f>+'2014'!D44</f>
        <v>1.0239344526961576</v>
      </c>
      <c r="Q44" s="6">
        <f>+'2015'!D44</f>
        <v>0.99807400729418516</v>
      </c>
      <c r="R44" s="6">
        <f>+'2016'!D44</f>
        <v>0.97152719757266615</v>
      </c>
      <c r="S44" s="6">
        <f>+'2017'!D44</f>
        <v>0.91873671554629965</v>
      </c>
      <c r="T44" s="6">
        <f>+'2018'!D44</f>
        <v>0.82026002413534005</v>
      </c>
      <c r="U44" s="6">
        <f>+'2019'!D44</f>
        <v>0.9564042832253391</v>
      </c>
      <c r="V44" s="6">
        <f>+'2020'!D44</f>
        <v>0.93372250019855452</v>
      </c>
      <c r="W44" s="6">
        <f>+'2021'!D44</f>
        <v>1.0370225451835289</v>
      </c>
      <c r="X44" s="6">
        <f>+'2022'!E44</f>
        <v>0.97260889966372099</v>
      </c>
    </row>
    <row r="45" spans="2:24" ht="15" thickBot="1" x14ac:dyDescent="0.25">
      <c r="B45" s="5" t="s">
        <v>71</v>
      </c>
      <c r="C45" s="6">
        <f>+'2001'!D45</f>
        <v>1.0428921568627452</v>
      </c>
      <c r="D45" s="6">
        <f>+'2002'!D45</f>
        <v>0.98934941614269212</v>
      </c>
      <c r="E45" s="6">
        <f>+'2003'!D45</f>
        <v>0.97130065434508095</v>
      </c>
      <c r="F45" s="6">
        <f>+'2004'!D45</f>
        <v>1.0009996667777408</v>
      </c>
      <c r="G45" s="6">
        <f>+'2005'!D45</f>
        <v>1.0235123690661911</v>
      </c>
      <c r="H45" s="6">
        <f>+'2006'!D45</f>
        <v>0.96531013772393082</v>
      </c>
      <c r="I45" s="6">
        <f>+'2007'!D45</f>
        <v>0.95219532211735736</v>
      </c>
      <c r="J45" s="6">
        <f>+'2008'!D45</f>
        <v>0.85832211754149845</v>
      </c>
      <c r="K45" s="6">
        <f>+'2009'!D45</f>
        <v>1.0180689763532091</v>
      </c>
      <c r="L45" s="6">
        <f>+'2010'!D45</f>
        <v>0.99370972691009507</v>
      </c>
      <c r="M45" s="6">
        <f>+'2011'!D45</f>
        <v>1.087450400684665</v>
      </c>
      <c r="N45" s="6">
        <f>+'2012'!D45</f>
        <v>0.99866131191432395</v>
      </c>
      <c r="O45" s="6">
        <f>+'2013'!D45</f>
        <v>1.0488083578191316</v>
      </c>
      <c r="P45" s="6">
        <f>+'2014'!D45</f>
        <v>0.97012377294067431</v>
      </c>
      <c r="Q45" s="6">
        <f>+'2015'!D45</f>
        <v>0.98224241172826765</v>
      </c>
      <c r="R45" s="6">
        <f>+'2016'!D45</f>
        <v>1.0333943275388837</v>
      </c>
      <c r="S45" s="6">
        <f>+'2017'!D45</f>
        <v>0.91229090909090904</v>
      </c>
      <c r="T45" s="6">
        <f>+'2018'!D45</f>
        <v>0.90822010869565217</v>
      </c>
      <c r="U45" s="6">
        <f>+'2019'!D45</f>
        <v>0.9762725613465828</v>
      </c>
      <c r="V45" s="6">
        <f>+'2020'!D45</f>
        <v>0.99385245901639341</v>
      </c>
      <c r="W45" s="6">
        <f>+'2021'!D45</f>
        <v>1.0537669661005835</v>
      </c>
      <c r="X45" s="6">
        <f>+'2022'!E45</f>
        <v>0.95724271267102912</v>
      </c>
    </row>
    <row r="46" spans="2:24" ht="15" thickBot="1" x14ac:dyDescent="0.25">
      <c r="B46" s="5" t="s">
        <v>72</v>
      </c>
      <c r="C46" s="6">
        <f>+'2001'!D46</f>
        <v>0.94388261851015798</v>
      </c>
      <c r="D46" s="6">
        <f>+'2002'!D46</f>
        <v>1.0195406239286939</v>
      </c>
      <c r="E46" s="6">
        <f>+'2003'!D46</f>
        <v>0.90875149342891282</v>
      </c>
      <c r="F46" s="6">
        <f>+'2004'!D46</f>
        <v>0.95531431456702853</v>
      </c>
      <c r="G46" s="6">
        <f>+'2005'!D46</f>
        <v>0.90521281376388263</v>
      </c>
      <c r="H46" s="6">
        <f>+'2006'!D46</f>
        <v>0.88721064326498467</v>
      </c>
      <c r="I46" s="6">
        <f>+'2007'!D46</f>
        <v>0.9976299305908245</v>
      </c>
      <c r="J46" s="6">
        <f>+'2008'!D46</f>
        <v>0.85129942963510963</v>
      </c>
      <c r="K46" s="6">
        <f>+'2009'!D46</f>
        <v>0.83341954480343783</v>
      </c>
      <c r="L46" s="6">
        <f>+'2010'!D46</f>
        <v>0.93594306049822062</v>
      </c>
      <c r="M46" s="6">
        <f>+'2011'!D46</f>
        <v>1.155303295727933</v>
      </c>
      <c r="N46" s="6">
        <f>+'2012'!D46</f>
        <v>1.0348395366936776</v>
      </c>
      <c r="O46" s="6">
        <f>+'2013'!D46</f>
        <v>1.1940925905167583</v>
      </c>
      <c r="P46" s="6">
        <f>+'2014'!D46</f>
        <v>1.0633508294271199</v>
      </c>
      <c r="Q46" s="6">
        <f>+'2015'!D46</f>
        <v>0.99575060443988572</v>
      </c>
      <c r="R46" s="6">
        <f>+'2016'!D46</f>
        <v>0.99558796812955797</v>
      </c>
      <c r="S46" s="6">
        <f>+'2017'!D46</f>
        <v>0.83246694419878775</v>
      </c>
      <c r="T46" s="6">
        <f>+'2018'!D46</f>
        <v>0.87720408001897687</v>
      </c>
      <c r="U46" s="6">
        <f>+'2019'!D46</f>
        <v>0.94228409878913955</v>
      </c>
      <c r="V46" s="6">
        <f>+'2020'!D46</f>
        <v>0.93810078101531991</v>
      </c>
      <c r="W46" s="6">
        <f>+'2021'!D46</f>
        <v>0.95506294894570176</v>
      </c>
      <c r="X46" s="6">
        <f>+'2022'!E46</f>
        <v>0.97039804950442576</v>
      </c>
    </row>
    <row r="47" spans="2:24" ht="15" thickBot="1" x14ac:dyDescent="0.25">
      <c r="B47" s="5" t="s">
        <v>5</v>
      </c>
      <c r="C47" s="6">
        <f>+'2001'!D47</f>
        <v>1.1048353480616924</v>
      </c>
      <c r="D47" s="6">
        <f>+'2002'!D47</f>
        <v>1.0283256528417819</v>
      </c>
      <c r="E47" s="6">
        <f>+'2003'!D47</f>
        <v>0.96725885434460768</v>
      </c>
      <c r="F47" s="6">
        <f>+'2004'!D47</f>
        <v>0.97798844938433038</v>
      </c>
      <c r="G47" s="6">
        <f>+'2005'!D47</f>
        <v>0.93921518338035392</v>
      </c>
      <c r="H47" s="6">
        <f>+'2006'!D47</f>
        <v>0.94331043823159522</v>
      </c>
      <c r="I47" s="6">
        <f>+'2007'!D47</f>
        <v>0.94888645491055135</v>
      </c>
      <c r="J47" s="6">
        <f>+'2008'!D47</f>
        <v>0.94549848942598191</v>
      </c>
      <c r="K47" s="6">
        <f>+'2009'!D47</f>
        <v>0.94533472077696845</v>
      </c>
      <c r="L47" s="6">
        <f>+'2010'!D47</f>
        <v>0.9766302683947341</v>
      </c>
      <c r="M47" s="6">
        <f>+'2011'!D47</f>
        <v>1.0815310239540548</v>
      </c>
      <c r="N47" s="6">
        <f>+'2012'!D47</f>
        <v>1.0271053309296936</v>
      </c>
      <c r="O47" s="6">
        <f>+'2013'!D47</f>
        <v>1.0586967335433592</v>
      </c>
      <c r="P47" s="6">
        <f>+'2014'!D47</f>
        <v>1.0509340677572419</v>
      </c>
      <c r="Q47" s="6">
        <f>+'2015'!D47</f>
        <v>1.0080377268952425</v>
      </c>
      <c r="R47" s="6">
        <f>+'2016'!D47</f>
        <v>1.0534573534573535</v>
      </c>
      <c r="S47" s="6">
        <f>+'2017'!D47</f>
        <v>0.92954953253376149</v>
      </c>
      <c r="T47" s="6">
        <f>+'2018'!D47</f>
        <v>0.90279097387173401</v>
      </c>
      <c r="U47" s="6">
        <f>+'2019'!D47</f>
        <v>0.97745369206269384</v>
      </c>
      <c r="V47" s="6">
        <f>+'2020'!D47</f>
        <v>0.9447492737889146</v>
      </c>
      <c r="W47" s="6">
        <f>+'2021'!D47</f>
        <v>1.0563095501883448</v>
      </c>
      <c r="X47" s="6">
        <f>+'2022'!E47</f>
        <v>0.96660063146164799</v>
      </c>
    </row>
    <row r="48" spans="2:24" ht="15" thickBot="1" x14ac:dyDescent="0.25">
      <c r="B48" s="5" t="s">
        <v>73</v>
      </c>
      <c r="C48" s="6">
        <f>+'2001'!D48</f>
        <v>1.1199456337071017</v>
      </c>
      <c r="D48" s="6">
        <f>+'2002'!D48</f>
        <v>1.0770138683977575</v>
      </c>
      <c r="E48" s="6">
        <f>+'2003'!D48</f>
        <v>0.87557019766852506</v>
      </c>
      <c r="F48" s="6">
        <f>+'2004'!D48</f>
        <v>1.0315024232633279</v>
      </c>
      <c r="G48" s="6">
        <f>+'2005'!D48</f>
        <v>0.96552567237163811</v>
      </c>
      <c r="H48" s="6">
        <f>+'2006'!D48</f>
        <v>0.88309982486865146</v>
      </c>
      <c r="I48" s="6">
        <f>+'2007'!D48</f>
        <v>0.93638463153474705</v>
      </c>
      <c r="J48" s="6">
        <f>+'2008'!D48</f>
        <v>0.77511721366376418</v>
      </c>
      <c r="K48" s="6">
        <f>+'2009'!D48</f>
        <v>0.92041467304625202</v>
      </c>
      <c r="L48" s="6">
        <f>+'2010'!D48</f>
        <v>1.0232598810772997</v>
      </c>
      <c r="M48" s="6">
        <f>+'2011'!D48</f>
        <v>1.1183178902352102</v>
      </c>
      <c r="N48" s="6">
        <f>+'2012'!D48</f>
        <v>1.0413586765223513</v>
      </c>
      <c r="O48" s="6">
        <f>+'2013'!D48</f>
        <v>1.1178087571176125</v>
      </c>
      <c r="P48" s="6">
        <f>+'2014'!D48</f>
        <v>0.99360970014746841</v>
      </c>
      <c r="Q48" s="6">
        <f>+'2015'!D48</f>
        <v>0.81884875846501126</v>
      </c>
      <c r="R48" s="6">
        <f>+'2016'!D48</f>
        <v>1.2235384615384615</v>
      </c>
      <c r="S48" s="6">
        <f>+'2017'!D48</f>
        <v>1.0077976087333218</v>
      </c>
      <c r="T48" s="6">
        <f>+'2018'!D48</f>
        <v>0.94812362030905073</v>
      </c>
      <c r="U48" s="6">
        <f>+'2019'!D48</f>
        <v>0.98646125116713357</v>
      </c>
      <c r="V48" s="6">
        <f>+'2020'!D48</f>
        <v>0.97736057426835998</v>
      </c>
      <c r="W48" s="6">
        <f>+'2021'!D48</f>
        <v>0.99652949925632128</v>
      </c>
      <c r="X48" s="6">
        <f>+'2022'!E48</f>
        <v>0.98950069995333645</v>
      </c>
    </row>
    <row r="49" spans="2:24" ht="15" thickBot="1" x14ac:dyDescent="0.25">
      <c r="B49" s="5" t="s">
        <v>74</v>
      </c>
      <c r="C49" s="6">
        <f>+'2001'!D49</f>
        <v>1.0752285951787199</v>
      </c>
      <c r="D49" s="6">
        <f>+'2002'!D49</f>
        <v>0.98068580112257653</v>
      </c>
      <c r="E49" s="6">
        <f>+'2003'!D49</f>
        <v>0.95743040873854823</v>
      </c>
      <c r="F49" s="6">
        <f>+'2004'!D49</f>
        <v>0.97742002927033245</v>
      </c>
      <c r="G49" s="6">
        <f>+'2005'!D49</f>
        <v>0.9300234400258649</v>
      </c>
      <c r="H49" s="6">
        <f>+'2006'!D49</f>
        <v>0.97813017495860033</v>
      </c>
      <c r="I49" s="6">
        <f>+'2007'!D49</f>
        <v>0.94441654689962073</v>
      </c>
      <c r="J49" s="6">
        <f>+'2008'!D49</f>
        <v>0.89123975871072292</v>
      </c>
      <c r="K49" s="6">
        <f>+'2009'!D49</f>
        <v>0.85377761348137005</v>
      </c>
      <c r="L49" s="6">
        <f>+'2010'!D49</f>
        <v>0.92292051526835861</v>
      </c>
      <c r="M49" s="6">
        <f>+'2011'!D49</f>
        <v>0.98466666666666669</v>
      </c>
      <c r="N49" s="6">
        <f>+'2012'!D49</f>
        <v>0.99531387044230046</v>
      </c>
      <c r="O49" s="6">
        <f>+'2013'!D49</f>
        <v>1.1075408886959039</v>
      </c>
      <c r="P49" s="6">
        <f>+'2014'!D49</f>
        <v>1.0142712165419256</v>
      </c>
      <c r="Q49" s="6">
        <f>+'2015'!D49</f>
        <v>1.0139325228793881</v>
      </c>
      <c r="R49" s="6">
        <f>+'2016'!D49</f>
        <v>1.0207079156402725</v>
      </c>
      <c r="S49" s="6">
        <f>+'2017'!D49</f>
        <v>0.90796983519380203</v>
      </c>
      <c r="T49" s="6">
        <f>+'2018'!D49</f>
        <v>0.89570192010075456</v>
      </c>
      <c r="U49" s="6">
        <f>+'2019'!D49</f>
        <v>0.97241574387394847</v>
      </c>
      <c r="V49" s="6">
        <f>+'2020'!D49</f>
        <v>0.97066842154742883</v>
      </c>
      <c r="W49" s="6">
        <f>+'2021'!D49</f>
        <v>1.0447134883347389</v>
      </c>
      <c r="X49" s="6">
        <f>+'2022'!E49</f>
        <v>1.0089504256018704</v>
      </c>
    </row>
    <row r="50" spans="2:24" ht="15" thickBot="1" x14ac:dyDescent="0.25">
      <c r="B50" s="5" t="s">
        <v>75</v>
      </c>
      <c r="C50" s="6">
        <f>+'2001'!D50</f>
        <v>1.0557661072008662</v>
      </c>
      <c r="D50" s="6">
        <f>+'2002'!D50</f>
        <v>1.0311371841155235</v>
      </c>
      <c r="E50" s="6">
        <f>+'2003'!D50</f>
        <v>0.85377358490566035</v>
      </c>
      <c r="F50" s="6">
        <f>+'2004'!D50</f>
        <v>1.0794442465265408</v>
      </c>
      <c r="G50" s="6">
        <f>+'2005'!D50</f>
        <v>0.97146785837057403</v>
      </c>
      <c r="H50" s="6">
        <f>+'2006'!D50</f>
        <v>0.9596222728752849</v>
      </c>
      <c r="I50" s="6">
        <f>+'2007'!D50</f>
        <v>1.078284547311096</v>
      </c>
      <c r="J50" s="6">
        <f>+'2008'!D50</f>
        <v>0.8282763072950291</v>
      </c>
      <c r="K50" s="6">
        <f>+'2009'!D50</f>
        <v>0.97479467572925516</v>
      </c>
      <c r="L50" s="6">
        <f>+'2010'!D50</f>
        <v>0.97605999423132395</v>
      </c>
      <c r="M50" s="6">
        <f>+'2011'!D50</f>
        <v>1.0791743684534811</v>
      </c>
      <c r="N50" s="6">
        <f>+'2012'!D50</f>
        <v>0.92554703040636543</v>
      </c>
      <c r="O50" s="6">
        <f>+'2013'!D50</f>
        <v>1.0489604292421193</v>
      </c>
      <c r="P50" s="6">
        <f>+'2014'!D50</f>
        <v>0.96823899371069178</v>
      </c>
      <c r="Q50" s="6">
        <f>+'2015'!D50</f>
        <v>0.94736842105263153</v>
      </c>
      <c r="R50" s="6">
        <f>+'2016'!D50</f>
        <v>1.0749414519906324</v>
      </c>
      <c r="S50" s="6">
        <f>+'2017'!D50</f>
        <v>0.97563946406820945</v>
      </c>
      <c r="T50" s="6">
        <f>+'2018'!D50</f>
        <v>0.93848857644991213</v>
      </c>
      <c r="U50" s="6">
        <f>+'2019'!D50</f>
        <v>0.976566757493188</v>
      </c>
      <c r="V50" s="6">
        <f>+'2020'!D50</f>
        <v>0.95193708127002619</v>
      </c>
      <c r="W50" s="6">
        <f>+'2021'!D50</f>
        <v>1.000463177396943</v>
      </c>
      <c r="X50" s="6">
        <f>+'2022'!E50</f>
        <v>0.96756658815002716</v>
      </c>
    </row>
    <row r="51" spans="2:24" ht="15" thickBot="1" x14ac:dyDescent="0.25">
      <c r="B51" s="5" t="s">
        <v>76</v>
      </c>
      <c r="C51" s="6">
        <f>+'2001'!D51</f>
        <v>0.99019965911857799</v>
      </c>
      <c r="D51" s="6">
        <f>+'2002'!D51</f>
        <v>0.94489808639281925</v>
      </c>
      <c r="E51" s="6">
        <f>+'2003'!D51</f>
        <v>0.90462396152164404</v>
      </c>
      <c r="F51" s="6">
        <f>+'2004'!D51</f>
        <v>0.97350522789564509</v>
      </c>
      <c r="G51" s="6">
        <f>+'2005'!D51</f>
        <v>0.96276792313377679</v>
      </c>
      <c r="H51" s="6">
        <f>+'2006'!D51</f>
        <v>0.90998617105979973</v>
      </c>
      <c r="I51" s="6">
        <f>+'2007'!D51</f>
        <v>0.95443421512644211</v>
      </c>
      <c r="J51" s="6">
        <f>+'2008'!D51</f>
        <v>0.88340923037173402</v>
      </c>
      <c r="K51" s="6">
        <f>+'2009'!D51</f>
        <v>0.91533406061251099</v>
      </c>
      <c r="L51" s="6">
        <f>+'2010'!D51</f>
        <v>0.95049504950495045</v>
      </c>
      <c r="M51" s="6">
        <f>+'2011'!D51</f>
        <v>1.0997116770783277</v>
      </c>
      <c r="N51" s="6">
        <f>+'2012'!D51</f>
        <v>1.0088126159554731</v>
      </c>
      <c r="O51" s="6">
        <f>+'2013'!D51</f>
        <v>1.0816813509544787</v>
      </c>
      <c r="P51" s="6">
        <f>+'2014'!D51</f>
        <v>1.0049500651324359</v>
      </c>
      <c r="Q51" s="6">
        <f>+'2015'!D51</f>
        <v>1.0558518567595323</v>
      </c>
      <c r="R51" s="6">
        <f>+'2016'!D51</f>
        <v>0.9870714071507114</v>
      </c>
      <c r="S51" s="6">
        <f>+'2017'!D51</f>
        <v>0.88297489551329955</v>
      </c>
      <c r="T51" s="6">
        <f>+'2018'!D51</f>
        <v>0.91965758265923192</v>
      </c>
      <c r="U51" s="6">
        <f>+'2019'!D51</f>
        <v>0.93935041701312771</v>
      </c>
      <c r="V51" s="6">
        <f>+'2020'!D51</f>
        <v>0.93510381725944614</v>
      </c>
      <c r="W51" s="6">
        <f>+'2021'!D51</f>
        <v>0.95272153923495273</v>
      </c>
      <c r="X51" s="6">
        <f>+'2022'!E51</f>
        <v>0.99042323560753021</v>
      </c>
    </row>
    <row r="52" spans="2:24" ht="15" thickBot="1" x14ac:dyDescent="0.25">
      <c r="B52" s="5" t="s">
        <v>77</v>
      </c>
      <c r="C52" s="6">
        <f>+'2001'!D52</f>
        <v>1.1282392026578074</v>
      </c>
      <c r="D52" s="6">
        <f>+'2002'!D52</f>
        <v>0.95491043854231006</v>
      </c>
      <c r="E52" s="6">
        <f>+'2003'!D52</f>
        <v>0.89702643171806162</v>
      </c>
      <c r="F52" s="6">
        <f>+'2004'!D52</f>
        <v>0.91654097536450474</v>
      </c>
      <c r="G52" s="6">
        <f>+'2005'!D52</f>
        <v>0.98100972672533582</v>
      </c>
      <c r="H52" s="6">
        <f>+'2006'!D52</f>
        <v>0.93670886075949367</v>
      </c>
      <c r="I52" s="6">
        <f>+'2007'!D52</f>
        <v>1.1055581503970107</v>
      </c>
      <c r="J52" s="6">
        <f>+'2008'!D52</f>
        <v>0.91678832116788322</v>
      </c>
      <c r="K52" s="6">
        <f>+'2009'!D52</f>
        <v>0.90703597580388406</v>
      </c>
      <c r="L52" s="6">
        <f>+'2010'!D52</f>
        <v>0.93296985246953179</v>
      </c>
      <c r="M52" s="6">
        <f>+'2011'!D52</f>
        <v>0.9970750731231719</v>
      </c>
      <c r="N52" s="6">
        <f>+'2012'!D52</f>
        <v>1.1000932545850171</v>
      </c>
      <c r="O52" s="6">
        <f>+'2013'!D52</f>
        <v>1.0073726541554959</v>
      </c>
      <c r="P52" s="6">
        <f>+'2014'!D52</f>
        <v>0.93718814206046375</v>
      </c>
      <c r="Q52" s="6">
        <f>+'2015'!D52</f>
        <v>0.96661514683153016</v>
      </c>
      <c r="R52" s="6">
        <f>+'2016'!D52</f>
        <v>1.054862842892768</v>
      </c>
      <c r="S52" s="6">
        <f>+'2017'!D52</f>
        <v>0.93853820598006643</v>
      </c>
      <c r="T52" s="6">
        <f>+'2018'!D52</f>
        <v>1.0085043988269795</v>
      </c>
      <c r="U52" s="6">
        <f>+'2019'!D52</f>
        <v>0.96469939327082188</v>
      </c>
      <c r="V52" s="6">
        <f>+'2020'!D52</f>
        <v>1.0034393809114359</v>
      </c>
      <c r="W52" s="6">
        <f>+'2021'!D52</f>
        <v>1.000244140625</v>
      </c>
      <c r="X52" s="6">
        <f>+'2022'!E52</f>
        <v>1.0043341802421162</v>
      </c>
    </row>
    <row r="53" spans="2:24" ht="15" thickBot="1" x14ac:dyDescent="0.25">
      <c r="B53" s="5" t="s">
        <v>78</v>
      </c>
      <c r="C53" s="6">
        <f>+'2001'!D53</f>
        <v>0.9574588769143505</v>
      </c>
      <c r="D53" s="6">
        <f>+'2002'!D53</f>
        <v>1.0098543742472352</v>
      </c>
      <c r="E53" s="6">
        <f>+'2003'!D53</f>
        <v>0.92814699698327086</v>
      </c>
      <c r="F53" s="6">
        <f>+'2004'!D53</f>
        <v>0.91325793009609657</v>
      </c>
      <c r="G53" s="6">
        <f>+'2005'!D53</f>
        <v>0.91211492663440119</v>
      </c>
      <c r="H53" s="6">
        <f>+'2006'!D53</f>
        <v>0.90151083238312424</v>
      </c>
      <c r="I53" s="6">
        <f>+'2007'!D53</f>
        <v>0.91263494602159134</v>
      </c>
      <c r="J53" s="6">
        <f>+'2008'!D53</f>
        <v>0.73964001674340729</v>
      </c>
      <c r="K53" s="6">
        <f>+'2009'!D53</f>
        <v>0.73011374975054877</v>
      </c>
      <c r="L53" s="6">
        <f>+'2010'!D53</f>
        <v>0.90191652644970655</v>
      </c>
      <c r="M53" s="6">
        <f>+'2011'!D53</f>
        <v>1.0678619536439222</v>
      </c>
      <c r="N53" s="6">
        <f>+'2012'!D53</f>
        <v>0.98584371460928655</v>
      </c>
      <c r="O53" s="6">
        <f>+'2013'!D53</f>
        <v>1.1081372457110716</v>
      </c>
      <c r="P53" s="6">
        <f>+'2014'!D53</f>
        <v>0.93820049813200501</v>
      </c>
      <c r="Q53" s="6">
        <f>+'2015'!D53</f>
        <v>0.9358308333943075</v>
      </c>
      <c r="R53" s="6">
        <f>+'2016'!D53</f>
        <v>1.0375693058327788</v>
      </c>
      <c r="S53" s="6">
        <f>+'2017'!D53</f>
        <v>0.84907245106631613</v>
      </c>
      <c r="T53" s="6">
        <f>+'2018'!D53</f>
        <v>0.85158135399466528</v>
      </c>
      <c r="U53" s="6">
        <f>+'2019'!D53</f>
        <v>0.90494739747875963</v>
      </c>
      <c r="V53" s="6">
        <f>+'2020'!D53</f>
        <v>0.95479249901018604</v>
      </c>
      <c r="W53" s="6">
        <f>+'2021'!D53</f>
        <v>0.88868993454075795</v>
      </c>
      <c r="X53" s="6">
        <f>+'2022'!E53</f>
        <v>0.86905531714772799</v>
      </c>
    </row>
    <row r="54" spans="2:24" ht="15" thickBot="1" x14ac:dyDescent="0.25">
      <c r="B54" s="5" t="s">
        <v>79</v>
      </c>
      <c r="C54" s="6">
        <f>+'2001'!D54</f>
        <v>0.96970931416766082</v>
      </c>
      <c r="D54" s="6">
        <f>+'2002'!D54</f>
        <v>0.9490829319786237</v>
      </c>
      <c r="E54" s="6">
        <f>+'2003'!D54</f>
        <v>0.96449412712863603</v>
      </c>
      <c r="F54" s="6">
        <f>+'2004'!D54</f>
        <v>0.95960202898145686</v>
      </c>
      <c r="G54" s="6">
        <f>+'2005'!D54</f>
        <v>0.94019401940194014</v>
      </c>
      <c r="H54" s="6">
        <f>+'2006'!D54</f>
        <v>0.93668068266139004</v>
      </c>
      <c r="I54" s="6">
        <f>+'2007'!D54</f>
        <v>0.98645128887954492</v>
      </c>
      <c r="J54" s="6">
        <f>+'2008'!D54</f>
        <v>0.89759517086943819</v>
      </c>
      <c r="K54" s="6">
        <f>+'2009'!D54</f>
        <v>0.8662416275077176</v>
      </c>
      <c r="L54" s="6">
        <f>+'2010'!D54</f>
        <v>0.97075801125970973</v>
      </c>
      <c r="M54" s="6">
        <f>+'2011'!D54</f>
        <v>1.0827283397817675</v>
      </c>
      <c r="N54" s="6">
        <f>+'2012'!D54</f>
        <v>0.98593592383556616</v>
      </c>
      <c r="O54" s="6">
        <f>+'2013'!D54</f>
        <v>1.0525252525252524</v>
      </c>
      <c r="P54" s="6">
        <f>+'2014'!D54</f>
        <v>1.0151449662268102</v>
      </c>
      <c r="Q54" s="6">
        <f>+'2015'!D54</f>
        <v>0.94925670265942486</v>
      </c>
      <c r="R54" s="6">
        <f>+'2016'!D54</f>
        <v>1.0993710588947321</v>
      </c>
      <c r="S54" s="6">
        <f>+'2017'!D54</f>
        <v>0.93881144159699248</v>
      </c>
      <c r="T54" s="6">
        <f>+'2018'!D54</f>
        <v>0.94974503853527159</v>
      </c>
      <c r="U54" s="6">
        <f>+'2019'!D54</f>
        <v>0.94181941322266416</v>
      </c>
      <c r="V54" s="6">
        <f>+'2020'!D54</f>
        <v>0.95055628889307942</v>
      </c>
      <c r="W54" s="6">
        <f>+'2021'!D54</f>
        <v>1.0279212685547461</v>
      </c>
      <c r="X54" s="6">
        <f>+'2022'!E54</f>
        <v>0.97266887353944553</v>
      </c>
    </row>
    <row r="55" spans="2:24" ht="15" thickBot="1" x14ac:dyDescent="0.25">
      <c r="B55" s="5" t="s">
        <v>80</v>
      </c>
      <c r="C55" s="6">
        <f>+'2001'!D55</f>
        <v>1.0329865516366405</v>
      </c>
      <c r="D55" s="6">
        <f>+'2002'!D55</f>
        <v>0.97663224904898693</v>
      </c>
      <c r="E55" s="6">
        <f>+'2003'!D55</f>
        <v>0.96027657266811284</v>
      </c>
      <c r="F55" s="6">
        <f>+'2004'!D55</f>
        <v>0.98260563380281685</v>
      </c>
      <c r="G55" s="6">
        <f>+'2005'!D55</f>
        <v>0.98466378293354306</v>
      </c>
      <c r="H55" s="6">
        <f>+'2006'!D55</f>
        <v>0.96434958864909981</v>
      </c>
      <c r="I55" s="6">
        <f>+'2007'!D55</f>
        <v>0.94653040483315454</v>
      </c>
      <c r="J55" s="6">
        <f>+'2008'!D55</f>
        <v>0.86126837375993348</v>
      </c>
      <c r="K55" s="6">
        <f>+'2009'!D55</f>
        <v>0.9285456224158003</v>
      </c>
      <c r="L55" s="6">
        <f>+'2010'!D55</f>
        <v>1.0521397379912665</v>
      </c>
      <c r="M55" s="6">
        <f>+'2011'!D55</f>
        <v>1.1336526504858839</v>
      </c>
      <c r="N55" s="6">
        <f>+'2012'!D55</f>
        <v>1.0241462877285745</v>
      </c>
      <c r="O55" s="6">
        <f>+'2013'!D55</f>
        <v>1.0469989453895181</v>
      </c>
      <c r="P55" s="6">
        <f>+'2014'!D55</f>
        <v>0.96799938900981408</v>
      </c>
      <c r="Q55" s="6">
        <f>+'2015'!D55</f>
        <v>0.98948405022333208</v>
      </c>
      <c r="R55" s="6">
        <f>+'2016'!D55</f>
        <v>1.0168733653927275</v>
      </c>
      <c r="S55" s="6">
        <f>+'2017'!D55</f>
        <v>0.89656862745098043</v>
      </c>
      <c r="T55" s="6">
        <f>+'2018'!D55</f>
        <v>0.94215782259643621</v>
      </c>
      <c r="U55" s="6">
        <f>+'2019'!D55</f>
        <v>1.0098629926699159</v>
      </c>
      <c r="V55" s="6">
        <f>+'2020'!D55</f>
        <v>0.92073549992225157</v>
      </c>
      <c r="W55" s="6">
        <f>+'2021'!D55</f>
        <v>0.95418281285616591</v>
      </c>
      <c r="X55" s="6">
        <f>+'2022'!E55</f>
        <v>0.99446153846153851</v>
      </c>
    </row>
    <row r="56" spans="2:24" ht="15" thickBot="1" x14ac:dyDescent="0.25">
      <c r="B56" s="5" t="s">
        <v>81</v>
      </c>
      <c r="C56" s="6">
        <f>+'2001'!D56</f>
        <v>0.99811907690081747</v>
      </c>
      <c r="D56" s="6">
        <f>+'2002'!D56</f>
        <v>0.95772771792360434</v>
      </c>
      <c r="E56" s="6">
        <f>+'2003'!D56</f>
        <v>0.99544159544159549</v>
      </c>
      <c r="F56" s="6">
        <f>+'2004'!D56</f>
        <v>0.99939654254375065</v>
      </c>
      <c r="G56" s="6">
        <f>+'2005'!D56</f>
        <v>0.95734627418427942</v>
      </c>
      <c r="H56" s="6">
        <f>+'2006'!D56</f>
        <v>0.98301291831960125</v>
      </c>
      <c r="I56" s="6">
        <f>+'2007'!D56</f>
        <v>0.97457398700248565</v>
      </c>
      <c r="J56" s="6">
        <f>+'2008'!D56</f>
        <v>0.99435796539552113</v>
      </c>
      <c r="K56" s="6">
        <f>+'2009'!D56</f>
        <v>1.0164769166492584</v>
      </c>
      <c r="L56" s="6">
        <f>+'2010'!D56</f>
        <v>1.0286193082139772</v>
      </c>
      <c r="M56" s="6">
        <f>+'2011'!D56</f>
        <v>1.0128352290514453</v>
      </c>
      <c r="N56" s="6">
        <f>+'2012'!D56</f>
        <v>0.96991499385497748</v>
      </c>
      <c r="O56" s="6">
        <f>+'2013'!D56</f>
        <v>1.044416657605741</v>
      </c>
      <c r="P56" s="6">
        <f>+'2014'!D56</f>
        <v>0.98143993473383639</v>
      </c>
      <c r="Q56" s="6">
        <f>+'2015'!D56</f>
        <v>0.99172973785775154</v>
      </c>
      <c r="R56" s="6">
        <f>+'2016'!D56</f>
        <v>0.96538845258499395</v>
      </c>
      <c r="S56" s="6">
        <f>+'2017'!D56</f>
        <v>0.91988760813292325</v>
      </c>
      <c r="T56" s="6">
        <f>+'2018'!D56</f>
        <v>0.87105055691443123</v>
      </c>
      <c r="U56" s="6">
        <f>+'2019'!D56</f>
        <v>0.95728850923119313</v>
      </c>
      <c r="V56" s="6">
        <f>+'2020'!D56</f>
        <v>0.96095628172023861</v>
      </c>
      <c r="W56" s="6">
        <f>+'2021'!D56</f>
        <v>1.0405948858031717</v>
      </c>
      <c r="X56" s="6">
        <f>+'2022'!E56</f>
        <v>1.0026777265497595</v>
      </c>
    </row>
    <row r="57" spans="2:24" ht="15" thickBot="1" x14ac:dyDescent="0.25">
      <c r="B57" s="5" t="s">
        <v>82</v>
      </c>
      <c r="C57" s="6">
        <f>+'2001'!D57</f>
        <v>1.0942307692307693</v>
      </c>
      <c r="D57" s="6">
        <f>+'2002'!D57</f>
        <v>0.92657752756274925</v>
      </c>
      <c r="E57" s="6">
        <f>+'2003'!D57</f>
        <v>0.98845214301576723</v>
      </c>
      <c r="F57" s="6">
        <f>+'2004'!D57</f>
        <v>1.0259423503325942</v>
      </c>
      <c r="G57" s="6">
        <f>+'2005'!D57</f>
        <v>0.9871123640757149</v>
      </c>
      <c r="H57" s="6">
        <f>+'2006'!D57</f>
        <v>0.90217998882057016</v>
      </c>
      <c r="I57" s="6">
        <f>+'2007'!D57</f>
        <v>0.93087557603686633</v>
      </c>
      <c r="J57" s="6">
        <f>+'2008'!D57</f>
        <v>0.89642437468524427</v>
      </c>
      <c r="K57" s="6">
        <f>+'2009'!D57</f>
        <v>0.9881607929515418</v>
      </c>
      <c r="L57" s="6">
        <f>+'2010'!D57</f>
        <v>1.0285336078835123</v>
      </c>
      <c r="M57" s="6">
        <f>+'2011'!D57</f>
        <v>1.00565812983919</v>
      </c>
      <c r="N57" s="6">
        <f>+'2012'!D57</f>
        <v>1.0023947034793632</v>
      </c>
      <c r="O57" s="6">
        <f>+'2013'!D57</f>
        <v>1.007958615200955</v>
      </c>
      <c r="P57" s="6">
        <f>+'2014'!D57</f>
        <v>0.97443643969323723</v>
      </c>
      <c r="Q57" s="6">
        <f>+'2015'!D57</f>
        <v>1.0114711447492903</v>
      </c>
      <c r="R57" s="6">
        <f>+'2016'!D57</f>
        <v>1.0116782006920415</v>
      </c>
      <c r="S57" s="6">
        <f>+'2017'!D57</f>
        <v>0.91048034934497812</v>
      </c>
      <c r="T57" s="6">
        <f>+'2018'!D57</f>
        <v>1.0076520338300443</v>
      </c>
      <c r="U57" s="6">
        <f>+'2019'!D57</f>
        <v>0.92835746380429351</v>
      </c>
      <c r="V57" s="6">
        <f>+'2020'!D57</f>
        <v>0.93122518434486667</v>
      </c>
      <c r="W57" s="6">
        <f>+'2021'!D57</f>
        <v>0.962192118226601</v>
      </c>
      <c r="X57" s="6">
        <f>+'2022'!E57</f>
        <v>0.94721794589839459</v>
      </c>
    </row>
    <row r="58" spans="2:24" ht="15" thickBot="1" x14ac:dyDescent="0.25">
      <c r="B58" s="5" t="s">
        <v>83</v>
      </c>
      <c r="C58" s="6">
        <f>+'2001'!D58</f>
        <v>1.0044707009420406</v>
      </c>
      <c r="D58" s="6">
        <f>+'2002'!D58</f>
        <v>1.0186821630967247</v>
      </c>
      <c r="E58" s="6">
        <f>+'2003'!D58</f>
        <v>0.96118109532743679</v>
      </c>
      <c r="F58" s="6">
        <f>+'2004'!D58</f>
        <v>0.96056647539982909</v>
      </c>
      <c r="G58" s="6">
        <f>+'2005'!D58</f>
        <v>0.95332551008820077</v>
      </c>
      <c r="H58" s="6">
        <f>+'2006'!D58</f>
        <v>0.95915969378671884</v>
      </c>
      <c r="I58" s="6">
        <f>+'2007'!D58</f>
        <v>0.97720413308241305</v>
      </c>
      <c r="J58" s="6">
        <f>+'2008'!D58</f>
        <v>0.95042988437592646</v>
      </c>
      <c r="K58" s="6">
        <f>+'2009'!D58</f>
        <v>0.91391954432182276</v>
      </c>
      <c r="L58" s="6">
        <f>+'2010'!D58</f>
        <v>1.0160545248012116</v>
      </c>
      <c r="M58" s="6">
        <f>+'2011'!D58</f>
        <v>1.0941899717320307</v>
      </c>
      <c r="N58" s="6">
        <f>+'2012'!D58</f>
        <v>1.0328958162428219</v>
      </c>
      <c r="O58" s="6">
        <f>+'2013'!D58</f>
        <v>1.0725219339182379</v>
      </c>
      <c r="P58" s="6">
        <f>+'2014'!D58</f>
        <v>0.98574809221197057</v>
      </c>
      <c r="Q58" s="6">
        <f>+'2015'!D58</f>
        <v>1.0175787728026533</v>
      </c>
      <c r="R58" s="6">
        <f>+'2016'!D58</f>
        <v>0.97412312618250618</v>
      </c>
      <c r="S58" s="6">
        <f>+'2017'!D58</f>
        <v>0.86898715267403648</v>
      </c>
      <c r="T58" s="6">
        <f>+'2018'!D58</f>
        <v>0.8932074189162944</v>
      </c>
      <c r="U58" s="6">
        <f>+'2019'!D58</f>
        <v>1.0165603883125536</v>
      </c>
      <c r="V58" s="6">
        <f>+'2020'!D58</f>
        <v>1.0414128108019101</v>
      </c>
      <c r="W58" s="6">
        <f>+'2021'!D58</f>
        <v>1.0355973357688624</v>
      </c>
      <c r="X58" s="6">
        <f>+'2022'!E58</f>
        <v>1.0070276497695851</v>
      </c>
    </row>
  </sheetData>
  <pageMargins left="0.75" right="0.75" top="1" bottom="1" header="0" footer="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D2550-FE9E-49DC-B668-8E0516A47854}">
  <dimension ref="B7:X58"/>
  <sheetViews>
    <sheetView workbookViewId="0">
      <selection activeCell="A2" sqref="A2"/>
    </sheetView>
  </sheetViews>
  <sheetFormatPr baseColWidth="10" defaultColWidth="10.710937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24" width="7" style="1" bestFit="1" customWidth="1"/>
    <col min="25" max="16384" width="10.7109375" style="1"/>
  </cols>
  <sheetData>
    <row r="7" spans="2:24" ht="13.5" thickBot="1" x14ac:dyDescent="0.25"/>
    <row r="8" spans="2:24" ht="20.100000000000001" customHeight="1" thickBot="1" x14ac:dyDescent="0.25"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</row>
    <row r="9" spans="2:24" s="7" customFormat="1" ht="20.100000000000001" customHeight="1" thickBot="1" x14ac:dyDescent="0.25">
      <c r="B9" s="5" t="s">
        <v>39</v>
      </c>
      <c r="C9" s="6">
        <f>+'2001'!E9</f>
        <v>1.0251125521457189</v>
      </c>
      <c r="D9" s="6">
        <f>+'2002'!E9</f>
        <v>0.9999247667770087</v>
      </c>
      <c r="E9" s="6">
        <f>+'2003'!E9</f>
        <v>1.0406903103229892</v>
      </c>
      <c r="F9" s="6">
        <f>+'2004'!E9</f>
        <v>1.0236047127889436</v>
      </c>
      <c r="G9" s="6">
        <f>+'2005'!E9</f>
        <v>1.0183486238532109</v>
      </c>
      <c r="H9" s="6">
        <f>+'2006'!E9</f>
        <v>1.0104112666321063</v>
      </c>
      <c r="I9" s="6">
        <f>+'2007'!E9</f>
        <v>0.99331745909824098</v>
      </c>
      <c r="J9" s="6">
        <f>+'2008'!E9</f>
        <v>0.98916635437604339</v>
      </c>
      <c r="K9" s="6">
        <f>+'2009'!E9</f>
        <v>1.0002561475409837</v>
      </c>
      <c r="L9" s="6">
        <f>+'2010'!E9</f>
        <v>1.0041732386961093</v>
      </c>
      <c r="M9" s="6">
        <f>+'2011'!E9</f>
        <v>1.0066279252395163</v>
      </c>
      <c r="N9" s="6">
        <f>+'2012'!E9</f>
        <v>1.0028019613729611</v>
      </c>
      <c r="O9" s="6">
        <f>+'2013'!E9</f>
        <v>1.0221283029240971</v>
      </c>
      <c r="P9" s="6">
        <f>+'2014'!E9</f>
        <v>1.0262134920361898</v>
      </c>
      <c r="Q9" s="6">
        <f>+'2015'!E9</f>
        <v>1.025516704416761</v>
      </c>
      <c r="R9" s="6">
        <f>+'2016'!E9</f>
        <v>1.0398657498362802</v>
      </c>
      <c r="S9" s="6">
        <f>+'2017'!E9</f>
        <v>1.0181147540983606</v>
      </c>
      <c r="T9" s="6">
        <f>+'2018'!E9</f>
        <v>1.025407005426739</v>
      </c>
      <c r="U9" s="6">
        <f>+'2019'!E9</f>
        <v>0.9835730700485148</v>
      </c>
      <c r="V9" s="6">
        <f>+'2020'!E9</f>
        <v>0.96453834698436336</v>
      </c>
      <c r="W9" s="6">
        <f>+'2021'!E9</f>
        <v>1.04610647435378</v>
      </c>
      <c r="X9" s="6">
        <f>+'2022'!F9</f>
        <v>1.8563447725458899</v>
      </c>
    </row>
    <row r="10" spans="2:24" s="7" customFormat="1" ht="20.100000000000001" customHeight="1" thickBot="1" x14ac:dyDescent="0.25">
      <c r="B10" s="5" t="s">
        <v>40</v>
      </c>
      <c r="C10" s="6">
        <f>+'2001'!E10</f>
        <v>0.987140902872777</v>
      </c>
      <c r="D10" s="6">
        <f>+'2002'!E10</f>
        <v>1.0175283771035575</v>
      </c>
      <c r="E10" s="6">
        <f>+'2003'!E10</f>
        <v>1.0082208628669449</v>
      </c>
      <c r="F10" s="6">
        <f>+'2004'!E10</f>
        <v>1.0033784870813089</v>
      </c>
      <c r="G10" s="6">
        <f>+'2005'!E10</f>
        <v>0.97382944115255021</v>
      </c>
      <c r="H10" s="6">
        <f>+'2006'!E10</f>
        <v>0.99185623704059867</v>
      </c>
      <c r="I10" s="6">
        <f>+'2007'!E10</f>
        <v>0.9693352487919551</v>
      </c>
      <c r="J10" s="6">
        <f>+'2008'!E10</f>
        <v>0.95046757784400371</v>
      </c>
      <c r="K10" s="6">
        <f>+'2009'!E10</f>
        <v>0.99259498613242858</v>
      </c>
      <c r="L10" s="6">
        <f>+'2010'!E10</f>
        <v>0.99804407713498622</v>
      </c>
      <c r="M10" s="6">
        <f>+'2011'!E10</f>
        <v>0.97281358263031237</v>
      </c>
      <c r="N10" s="6">
        <f>+'2012'!E10</f>
        <v>1.0053535216979856</v>
      </c>
      <c r="O10" s="6">
        <f>+'2013'!E10</f>
        <v>1.0082660462570139</v>
      </c>
      <c r="P10" s="6">
        <f>+'2014'!E10</f>
        <v>1.0134037484572773</v>
      </c>
      <c r="Q10" s="6">
        <f>+'2015'!E10</f>
        <v>1.0575916230366491</v>
      </c>
      <c r="R10" s="6">
        <f>+'2016'!E10</f>
        <v>1.0431985294117647</v>
      </c>
      <c r="S10" s="6">
        <f>+'2017'!E10</f>
        <v>1.0250058153058852</v>
      </c>
      <c r="T10" s="6">
        <f>+'2018'!E10</f>
        <v>0.95557318524395085</v>
      </c>
      <c r="U10" s="6">
        <f>+'2019'!E10</f>
        <v>0.96464188576609244</v>
      </c>
      <c r="V10" s="6">
        <f>+'2020'!E10</f>
        <v>0.97375432986943777</v>
      </c>
      <c r="W10" s="6">
        <f>+'2021'!E10</f>
        <v>0.99797414049931477</v>
      </c>
      <c r="X10" s="6">
        <f>+'2022'!F10</f>
        <v>0.8378076062639821</v>
      </c>
    </row>
    <row r="11" spans="2:24" s="7" customFormat="1" ht="20.100000000000001" customHeight="1" thickBot="1" x14ac:dyDescent="0.25">
      <c r="B11" s="5" t="s">
        <v>41</v>
      </c>
      <c r="C11" s="6">
        <f>+'2001'!E11</f>
        <v>0.97869819951616011</v>
      </c>
      <c r="D11" s="6">
        <f>+'2002'!E11</f>
        <v>0.98756106159037116</v>
      </c>
      <c r="E11" s="6">
        <f>+'2003'!E11</f>
        <v>0.9887399158782475</v>
      </c>
      <c r="F11" s="6">
        <f>+'2004'!E11</f>
        <v>1.0196422441740722</v>
      </c>
      <c r="G11" s="6">
        <f>+'2005'!E11</f>
        <v>0.99661338152976886</v>
      </c>
      <c r="H11" s="6">
        <f>+'2006'!E11</f>
        <v>0.99176146734679782</v>
      </c>
      <c r="I11" s="6">
        <f>+'2007'!E11</f>
        <v>0.98547822712404975</v>
      </c>
      <c r="J11" s="6">
        <f>+'2008'!E11</f>
        <v>0.97711020936872162</v>
      </c>
      <c r="K11" s="6">
        <f>+'2009'!E11</f>
        <v>0.99257729998438038</v>
      </c>
      <c r="L11" s="6">
        <f>+'2010'!E11</f>
        <v>0.98578305485024209</v>
      </c>
      <c r="M11" s="6">
        <f>+'2011'!E11</f>
        <v>1.0141811594732191</v>
      </c>
      <c r="N11" s="6">
        <f>+'2012'!E11</f>
        <v>1.0030415342107608</v>
      </c>
      <c r="O11" s="6">
        <f>+'2013'!E11</f>
        <v>1.0260376710368122</v>
      </c>
      <c r="P11" s="6">
        <f>+'2014'!E11</f>
        <v>1.0464215322496988</v>
      </c>
      <c r="Q11" s="6">
        <f>+'2015'!E11</f>
        <v>1.0916262368540992</v>
      </c>
      <c r="R11" s="6">
        <f>+'2016'!E11</f>
        <v>1.071692880760742</v>
      </c>
      <c r="S11" s="6">
        <f>+'2017'!E11</f>
        <v>1.0380355668303978</v>
      </c>
      <c r="T11" s="6">
        <f>+'2018'!E11</f>
        <v>1.0153131333951699</v>
      </c>
      <c r="U11" s="6">
        <f>+'2019'!E11</f>
        <v>1.0194471023300318</v>
      </c>
      <c r="V11" s="6">
        <f>+'2020'!E11</f>
        <v>1.003416412766595</v>
      </c>
      <c r="W11" s="6">
        <f>+'2021'!E11</f>
        <v>1.0376186109187551</v>
      </c>
      <c r="X11" s="6">
        <f>+'2022'!F11</f>
        <v>1.1626237623762377</v>
      </c>
    </row>
    <row r="12" spans="2:24" s="7" customFormat="1" ht="20.100000000000001" customHeight="1" thickBot="1" x14ac:dyDescent="0.25">
      <c r="B12" s="5" t="s">
        <v>42</v>
      </c>
      <c r="C12" s="6">
        <f>+'2001'!E12</f>
        <v>0.91248411497730708</v>
      </c>
      <c r="D12" s="6">
        <f>+'2002'!E12</f>
        <v>1.0158191959636169</v>
      </c>
      <c r="E12" s="6">
        <f>+'2003'!E12</f>
        <v>1.0686708449889641</v>
      </c>
      <c r="F12" s="6">
        <f>+'2004'!E12</f>
        <v>1.0410618706341286</v>
      </c>
      <c r="G12" s="6">
        <f>+'2005'!E12</f>
        <v>0.98086389936589824</v>
      </c>
      <c r="H12" s="6">
        <f>+'2006'!E12</f>
        <v>1.0169847215957009</v>
      </c>
      <c r="I12" s="6">
        <f>+'2007'!E12</f>
        <v>1.0057649844635168</v>
      </c>
      <c r="J12" s="6">
        <f>+'2008'!E12</f>
        <v>0.98115715805001891</v>
      </c>
      <c r="K12" s="6">
        <f>+'2009'!E12</f>
        <v>0.97555128350107434</v>
      </c>
      <c r="L12" s="6">
        <f>+'2010'!E12</f>
        <v>1.0027099578166943</v>
      </c>
      <c r="M12" s="6">
        <f>+'2011'!E12</f>
        <v>1.0078225881912604</v>
      </c>
      <c r="N12" s="6">
        <f>+'2012'!E12</f>
        <v>1.0011619918406121</v>
      </c>
      <c r="O12" s="6">
        <f>+'2013'!E12</f>
        <v>1.0141983438272384</v>
      </c>
      <c r="P12" s="6">
        <f>+'2014'!E12</f>
        <v>1.0061285356936693</v>
      </c>
      <c r="Q12" s="6">
        <f>+'2015'!E12</f>
        <v>1.0285247742001327</v>
      </c>
      <c r="R12" s="6">
        <f>+'2016'!E12</f>
        <v>1.0203581287229406</v>
      </c>
      <c r="S12" s="6">
        <f>+'2017'!E12</f>
        <v>1.0117394083803104</v>
      </c>
      <c r="T12" s="6">
        <f>+'2018'!E12</f>
        <v>1.0133135227072785</v>
      </c>
      <c r="U12" s="6">
        <f>+'2019'!E12</f>
        <v>0.98268586077696707</v>
      </c>
      <c r="V12" s="6">
        <f>+'2020'!E12</f>
        <v>0.9720227893834823</v>
      </c>
      <c r="W12" s="6">
        <f>+'2021'!E12</f>
        <v>1.0089520350389916</v>
      </c>
      <c r="X12" s="6">
        <f>+'2022'!F12</f>
        <v>1.0526068576796619</v>
      </c>
    </row>
    <row r="13" spans="2:24" s="7" customFormat="1" ht="20.100000000000001" customHeight="1" thickBot="1" x14ac:dyDescent="0.25">
      <c r="B13" s="5" t="s">
        <v>43</v>
      </c>
      <c r="C13" s="6">
        <f>+'2001'!E13</f>
        <v>1.0165054574496406</v>
      </c>
      <c r="D13" s="6">
        <f>+'2002'!E13</f>
        <v>0.95807314897413021</v>
      </c>
      <c r="E13" s="6">
        <f>+'2003'!E13</f>
        <v>1.029175281415116</v>
      </c>
      <c r="F13" s="6">
        <f>+'2004'!E13</f>
        <v>1.0101031814273431</v>
      </c>
      <c r="G13" s="6">
        <f>+'2005'!E13</f>
        <v>0.98825169255276779</v>
      </c>
      <c r="H13" s="6">
        <f>+'2006'!E13</f>
        <v>0.9740912353977681</v>
      </c>
      <c r="I13" s="6">
        <f>+'2007'!E13</f>
        <v>1.0094531150869179</v>
      </c>
      <c r="J13" s="6">
        <f>+'2008'!E13</f>
        <v>0.96164331452482088</v>
      </c>
      <c r="K13" s="6">
        <f>+'2009'!E13</f>
        <v>0.93594427951587122</v>
      </c>
      <c r="L13" s="6">
        <f>+'2010'!E13</f>
        <v>1.0045227326826947</v>
      </c>
      <c r="M13" s="6">
        <f>+'2011'!E13</f>
        <v>0.94986416399110896</v>
      </c>
      <c r="N13" s="6">
        <f>+'2012'!E13</f>
        <v>0.97751559701031565</v>
      </c>
      <c r="O13" s="6">
        <f>+'2013'!E13</f>
        <v>0.95552025416997621</v>
      </c>
      <c r="P13" s="6">
        <f>+'2014'!E13</f>
        <v>1.0040166019547463</v>
      </c>
      <c r="Q13" s="6">
        <f>+'2015'!E13</f>
        <v>1.0216506829410055</v>
      </c>
      <c r="R13" s="6">
        <f>+'2016'!E13</f>
        <v>0.97473979651502751</v>
      </c>
      <c r="S13" s="6">
        <f>+'2017'!E13</f>
        <v>0.94929082465168824</v>
      </c>
      <c r="T13" s="6">
        <f>+'2018'!E13</f>
        <v>0.92644159684573679</v>
      </c>
      <c r="U13" s="6">
        <f>+'2019'!E13</f>
        <v>0.93634155694746257</v>
      </c>
      <c r="V13" s="6">
        <f>+'2020'!E13</f>
        <v>0.91002736198293899</v>
      </c>
      <c r="W13" s="6">
        <f>+'2021'!E13</f>
        <v>0.97591200222779173</v>
      </c>
      <c r="X13" s="6">
        <f>+'2022'!F13</f>
        <v>0.96283783783783783</v>
      </c>
    </row>
    <row r="14" spans="2:24" s="7" customFormat="1" ht="20.100000000000001" customHeight="1" thickBot="1" x14ac:dyDescent="0.25">
      <c r="B14" s="5" t="s">
        <v>44</v>
      </c>
      <c r="C14" s="6">
        <f>+'2001'!E14</f>
        <v>1.0181730246055256</v>
      </c>
      <c r="D14" s="6">
        <f>+'2002'!E14</f>
        <v>0.99437705332322468</v>
      </c>
      <c r="E14" s="6">
        <f>+'2003'!E14</f>
        <v>1.0142305836951278</v>
      </c>
      <c r="F14" s="6">
        <f>+'2004'!E14</f>
        <v>1.0247512552752365</v>
      </c>
      <c r="G14" s="6">
        <f>+'2005'!E14</f>
        <v>1.0014790666787408</v>
      </c>
      <c r="H14" s="6">
        <f>+'2006'!E14</f>
        <v>0.99861397901168214</v>
      </c>
      <c r="I14" s="6">
        <f>+'2007'!E14</f>
        <v>0.99254808029023267</v>
      </c>
      <c r="J14" s="6">
        <f>+'2008'!E14</f>
        <v>0.97245709850018025</v>
      </c>
      <c r="K14" s="6">
        <f>+'2009'!E14</f>
        <v>0.98648420998069175</v>
      </c>
      <c r="L14" s="6">
        <f>+'2010'!E14</f>
        <v>0.97648738571166593</v>
      </c>
      <c r="M14" s="6">
        <f>+'2011'!E14</f>
        <v>0.99093720586257905</v>
      </c>
      <c r="N14" s="6">
        <f>+'2012'!E14</f>
        <v>1.0186901141775202</v>
      </c>
      <c r="O14" s="6">
        <f>+'2013'!E14</f>
        <v>1.0129138617942024</v>
      </c>
      <c r="P14" s="6">
        <f>+'2014'!E14</f>
        <v>1.0192143231537423</v>
      </c>
      <c r="Q14" s="6">
        <f>+'2015'!E14</f>
        <v>1.0166244222454153</v>
      </c>
      <c r="R14" s="6">
        <f>+'2016'!E14</f>
        <v>1.0364072215147202</v>
      </c>
      <c r="S14" s="6">
        <f>+'2017'!E14</f>
        <v>1.007304292595141</v>
      </c>
      <c r="T14" s="6">
        <f>+'2018'!E14</f>
        <v>0.99354510952395181</v>
      </c>
      <c r="U14" s="6">
        <f>+'2019'!E14</f>
        <v>0.98034155817796975</v>
      </c>
      <c r="V14" s="6">
        <f>+'2020'!E14</f>
        <v>0.95936287522973251</v>
      </c>
      <c r="W14" s="6">
        <f>+'2021'!E14</f>
        <v>0.99997055619350472</v>
      </c>
      <c r="X14" s="6">
        <f>+'2022'!F14</f>
        <v>1.0804232804232805</v>
      </c>
    </row>
    <row r="15" spans="2:24" s="7" customFormat="1" ht="20.100000000000001" customHeight="1" thickBot="1" x14ac:dyDescent="0.25">
      <c r="B15" s="5" t="s">
        <v>45</v>
      </c>
      <c r="C15" s="6">
        <f>+'2001'!E15</f>
        <v>1.0012447940461766</v>
      </c>
      <c r="D15" s="6">
        <f>+'2002'!E15</f>
        <v>0.986587916054669</v>
      </c>
      <c r="E15" s="6">
        <f>+'2003'!E15</f>
        <v>1.0108831255132811</v>
      </c>
      <c r="F15" s="6">
        <f>+'2004'!E15</f>
        <v>1.0246117084826762</v>
      </c>
      <c r="G15" s="6">
        <f>+'2005'!E15</f>
        <v>0.98562364880902742</v>
      </c>
      <c r="H15" s="6">
        <f>+'2006'!E15</f>
        <v>0.95705832211199926</v>
      </c>
      <c r="I15" s="6">
        <f>+'2007'!E15</f>
        <v>1.000096618357488</v>
      </c>
      <c r="J15" s="6">
        <f>+'2008'!E15</f>
        <v>0.96940563786417422</v>
      </c>
      <c r="K15" s="6">
        <f>+'2009'!E15</f>
        <v>1.0021277525068168</v>
      </c>
      <c r="L15" s="6">
        <f>+'2010'!E15</f>
        <v>0.99153632089050958</v>
      </c>
      <c r="M15" s="6">
        <f>+'2011'!E15</f>
        <v>1.0059012875536482</v>
      </c>
      <c r="N15" s="6">
        <f>+'2012'!E15</f>
        <v>1.0403314711820737</v>
      </c>
      <c r="O15" s="6">
        <f>+'2013'!E15</f>
        <v>1.0211336053099382</v>
      </c>
      <c r="P15" s="6">
        <f>+'2014'!E15</f>
        <v>1.0149121492648161</v>
      </c>
      <c r="Q15" s="6">
        <f>+'2015'!E15</f>
        <v>1.0327477888769265</v>
      </c>
      <c r="R15" s="6">
        <f>+'2016'!E15</f>
        <v>1.0310001056821785</v>
      </c>
      <c r="S15" s="6">
        <f>+'2017'!E15</f>
        <v>0.96704428424304845</v>
      </c>
      <c r="T15" s="6">
        <f>+'2018'!E15</f>
        <v>1.0091845217344668</v>
      </c>
      <c r="U15" s="6">
        <f>+'2019'!E15</f>
        <v>0.98585740307051783</v>
      </c>
      <c r="V15" s="6">
        <f>+'2020'!E15</f>
        <v>0.98769162619247264</v>
      </c>
      <c r="W15" s="6">
        <f>+'2021'!E15</f>
        <v>1.030695038708662</v>
      </c>
      <c r="X15" s="6">
        <f>+'2022'!F15</f>
        <v>0.99766042780748665</v>
      </c>
    </row>
    <row r="16" spans="2:24" s="7" customFormat="1" ht="20.100000000000001" customHeight="1" thickBot="1" x14ac:dyDescent="0.25">
      <c r="B16" s="5" t="s">
        <v>46</v>
      </c>
      <c r="C16" s="6">
        <f>+'2001'!E16</f>
        <v>1.0104191679992915</v>
      </c>
      <c r="D16" s="6">
        <f>+'2002'!E16</f>
        <v>0.99660957274096484</v>
      </c>
      <c r="E16" s="6">
        <f>+'2003'!E16</f>
        <v>1.0041495059840502</v>
      </c>
      <c r="F16" s="6">
        <f>+'2004'!E16</f>
        <v>1.0221912610326334</v>
      </c>
      <c r="G16" s="6">
        <f>+'2005'!E16</f>
        <v>0.99913373020456453</v>
      </c>
      <c r="H16" s="6">
        <f>+'2006'!E16</f>
        <v>0.99087365303915342</v>
      </c>
      <c r="I16" s="6">
        <f>+'2007'!E16</f>
        <v>1.0103421525094385</v>
      </c>
      <c r="J16" s="6">
        <f>+'2008'!E16</f>
        <v>0.99424182060505306</v>
      </c>
      <c r="K16" s="6">
        <f>+'2009'!E16</f>
        <v>1.0044541306272561</v>
      </c>
      <c r="L16" s="6">
        <f>+'2010'!E16</f>
        <v>1.0104735649662095</v>
      </c>
      <c r="M16" s="6">
        <f>+'2011'!E16</f>
        <v>1.0182500375631842</v>
      </c>
      <c r="N16" s="6">
        <f>+'2012'!E16</f>
        <v>1.0273801848884365</v>
      </c>
      <c r="O16" s="6">
        <f>+'2013'!E16</f>
        <v>1.0288017636315741</v>
      </c>
      <c r="P16" s="6">
        <f>+'2014'!E16</f>
        <v>1.0325796951456163</v>
      </c>
      <c r="Q16" s="6">
        <f>+'2015'!E16</f>
        <v>1.0366550652061848</v>
      </c>
      <c r="R16" s="6">
        <f>+'2016'!E16</f>
        <v>1.0332264835073119</v>
      </c>
      <c r="S16" s="6">
        <f>+'2017'!E16</f>
        <v>1.0188916369759762</v>
      </c>
      <c r="T16" s="6">
        <f>+'2018'!E16</f>
        <v>1.0088721781712882</v>
      </c>
      <c r="U16" s="6">
        <f>+'2019'!E16</f>
        <v>0.98704352890754643</v>
      </c>
      <c r="V16" s="6">
        <f>+'2020'!E16</f>
        <v>0.96481810586066497</v>
      </c>
      <c r="W16" s="6">
        <f>+'2021'!E16</f>
        <v>1.0160639683751853</v>
      </c>
      <c r="X16" s="6">
        <f>+'2022'!F16</f>
        <v>0.97807308970099671</v>
      </c>
    </row>
    <row r="17" spans="2:24" s="7" customFormat="1" ht="20.100000000000001" customHeight="1" thickBot="1" x14ac:dyDescent="0.25">
      <c r="B17" s="5" t="s">
        <v>47</v>
      </c>
      <c r="C17" s="6">
        <f>+'2001'!E17</f>
        <v>1.0190393427081688</v>
      </c>
      <c r="D17" s="6">
        <f>+'2002'!E17</f>
        <v>0.99871222527472525</v>
      </c>
      <c r="E17" s="6">
        <f>+'2003'!E17</f>
        <v>1.0016269444840873</v>
      </c>
      <c r="F17" s="6">
        <f>+'2004'!E17</f>
        <v>1.026684612458671</v>
      </c>
      <c r="G17" s="6">
        <f>+'2005'!E17</f>
        <v>1.0365150910024534</v>
      </c>
      <c r="H17" s="6">
        <f>+'2006'!E17</f>
        <v>0.96370436706526896</v>
      </c>
      <c r="I17" s="6">
        <f>+'2007'!E17</f>
        <v>0.98815850137099315</v>
      </c>
      <c r="J17" s="6">
        <f>+'2008'!E17</f>
        <v>0.98439647895815752</v>
      </c>
      <c r="K17" s="6">
        <f>+'2009'!E17</f>
        <v>0.98392507688006714</v>
      </c>
      <c r="L17" s="6">
        <f>+'2010'!E17</f>
        <v>0.98846202292480156</v>
      </c>
      <c r="M17" s="6">
        <f>+'2011'!E17</f>
        <v>0.98546496065099842</v>
      </c>
      <c r="N17" s="6">
        <f>+'2012'!E17</f>
        <v>1.0144144656412588</v>
      </c>
      <c r="O17" s="6">
        <f>+'2013'!E17</f>
        <v>1.0215283337781336</v>
      </c>
      <c r="P17" s="6">
        <f>+'2014'!E17</f>
        <v>1.0282709322083554</v>
      </c>
      <c r="Q17" s="6">
        <f>+'2015'!E17</f>
        <v>1.0276234615266566</v>
      </c>
      <c r="R17" s="6">
        <f>+'2016'!E17</f>
        <v>1.0038863372533184</v>
      </c>
      <c r="S17" s="6">
        <f>+'2017'!E17</f>
        <v>0.97786624203821659</v>
      </c>
      <c r="T17" s="6">
        <f>+'2018'!E17</f>
        <v>0.98150719164769251</v>
      </c>
      <c r="U17" s="6">
        <f>+'2019'!E17</f>
        <v>0.95024763619990993</v>
      </c>
      <c r="V17" s="6">
        <f>+'2020'!E17</f>
        <v>0.96429736962339274</v>
      </c>
      <c r="W17" s="6">
        <f>+'2021'!E17</f>
        <v>0.96537772383099241</v>
      </c>
      <c r="X17" s="6">
        <f>+'2022'!F17</f>
        <v>1.2160413971539457</v>
      </c>
    </row>
    <row r="18" spans="2:24" s="7" customFormat="1" ht="20.100000000000001" customHeight="1" thickBot="1" x14ac:dyDescent="0.25">
      <c r="B18" s="5" t="s">
        <v>48</v>
      </c>
      <c r="C18" s="6">
        <f>+'2001'!E18</f>
        <v>1.0115253016387538</v>
      </c>
      <c r="D18" s="6">
        <f>+'2002'!E18</f>
        <v>0.99424498946030049</v>
      </c>
      <c r="E18" s="6">
        <f>+'2003'!E18</f>
        <v>1.0419732897247207</v>
      </c>
      <c r="F18" s="6">
        <f>+'2004'!E18</f>
        <v>1.0034754165388939</v>
      </c>
      <c r="G18" s="6">
        <f>+'2005'!E18</f>
        <v>0.99586649392312909</v>
      </c>
      <c r="H18" s="6">
        <f>+'2006'!E18</f>
        <v>0.99494742990654206</v>
      </c>
      <c r="I18" s="6">
        <f>+'2007'!E18</f>
        <v>0.98115426454590893</v>
      </c>
      <c r="J18" s="6">
        <f>+'2008'!E18</f>
        <v>0.94101336022183013</v>
      </c>
      <c r="K18" s="6">
        <f>+'2009'!E18</f>
        <v>0.99604815017029358</v>
      </c>
      <c r="L18" s="6">
        <f>+'2010'!E18</f>
        <v>0.97203682393555813</v>
      </c>
      <c r="M18" s="6">
        <f>+'2011'!E18</f>
        <v>0.97552161269375193</v>
      </c>
      <c r="N18" s="6">
        <f>+'2012'!E18</f>
        <v>0.98624548636952503</v>
      </c>
      <c r="O18" s="6">
        <f>+'2013'!E18</f>
        <v>0.98210145337329635</v>
      </c>
      <c r="P18" s="6">
        <f>+'2014'!E18</f>
        <v>1.0011803656254499</v>
      </c>
      <c r="Q18" s="6">
        <f>+'2015'!E18</f>
        <v>1.0307411053297708</v>
      </c>
      <c r="R18" s="6">
        <f>+'2016'!E18</f>
        <v>1.0409729837503738</v>
      </c>
      <c r="S18" s="6">
        <f>+'2017'!E18</f>
        <v>0.98354236122135785</v>
      </c>
      <c r="T18" s="6">
        <f>+'2018'!E18</f>
        <v>0.96072354333370902</v>
      </c>
      <c r="U18" s="6">
        <f>+'2019'!E18</f>
        <v>0.96384008148714029</v>
      </c>
      <c r="V18" s="6">
        <f>+'2020'!E18</f>
        <v>0.94327704009281943</v>
      </c>
      <c r="W18" s="6">
        <f>+'2021'!E18</f>
        <v>0.99983117613956107</v>
      </c>
      <c r="X18" s="6">
        <f>+'2022'!F18</f>
        <v>1.393939393939394</v>
      </c>
    </row>
    <row r="19" spans="2:24" s="7" customFormat="1" ht="20.100000000000001" customHeight="1" thickBot="1" x14ac:dyDescent="0.25">
      <c r="B19" s="5" t="s">
        <v>49</v>
      </c>
      <c r="C19" s="6">
        <f>+'2001'!E19</f>
        <v>0.99566210648637232</v>
      </c>
      <c r="D19" s="6">
        <f>+'2002'!E19</f>
        <v>1.0088259534950126</v>
      </c>
      <c r="E19" s="6">
        <f>+'2003'!E19</f>
        <v>1.0274657394671149</v>
      </c>
      <c r="F19" s="6">
        <f>+'2004'!E19</f>
        <v>1.053225407649363</v>
      </c>
      <c r="G19" s="6">
        <f>+'2005'!E19</f>
        <v>1.0175728757494316</v>
      </c>
      <c r="H19" s="6">
        <f>+'2006'!E19</f>
        <v>1.0082013957070544</v>
      </c>
      <c r="I19" s="6">
        <f>+'2007'!E19</f>
        <v>1.0160201416281935</v>
      </c>
      <c r="J19" s="6">
        <f>+'2008'!E19</f>
        <v>0.99465179167715867</v>
      </c>
      <c r="K19" s="6">
        <f>+'2009'!E19</f>
        <v>0.99599872907141429</v>
      </c>
      <c r="L19" s="6">
        <f>+'2010'!E19</f>
        <v>0.99981202401795977</v>
      </c>
      <c r="M19" s="6">
        <f>+'2011'!E19</f>
        <v>0.99611256326122022</v>
      </c>
      <c r="N19" s="6">
        <f>+'2012'!E19</f>
        <v>1.0125490322858743</v>
      </c>
      <c r="O19" s="6">
        <f>+'2013'!E19</f>
        <v>1.00237837600312</v>
      </c>
      <c r="P19" s="6">
        <f>+'2014'!E19</f>
        <v>1.0137078651685394</v>
      </c>
      <c r="Q19" s="6">
        <f>+'2015'!E19</f>
        <v>1.0292679102362299</v>
      </c>
      <c r="R19" s="6">
        <f>+'2016'!E19</f>
        <v>1.0367554999105706</v>
      </c>
      <c r="S19" s="6">
        <f>+'2017'!E19</f>
        <v>1.0057978070126909</v>
      </c>
      <c r="T19" s="6">
        <f>+'2018'!E19</f>
        <v>1.0098334636794406</v>
      </c>
      <c r="U19" s="6">
        <f>+'2019'!E19</f>
        <v>0.98012395811070741</v>
      </c>
      <c r="V19" s="6">
        <f>+'2020'!E19</f>
        <v>0.96642793771617397</v>
      </c>
      <c r="W19" s="6">
        <f>+'2021'!E19</f>
        <v>1.0239857076994006</v>
      </c>
      <c r="X19" s="6">
        <f>+'2022'!F19</f>
        <v>1.0327187274041938</v>
      </c>
    </row>
    <row r="20" spans="2:24" s="7" customFormat="1" ht="20.100000000000001" customHeight="1" thickBot="1" x14ac:dyDescent="0.25">
      <c r="B20" s="5" t="s">
        <v>50</v>
      </c>
      <c r="C20" s="6">
        <f>+'2001'!E20</f>
        <v>0.97410481599204612</v>
      </c>
      <c r="D20" s="6">
        <f>+'2002'!E20</f>
        <v>0.96636479349241411</v>
      </c>
      <c r="E20" s="6">
        <f>+'2003'!E20</f>
        <v>0.98168460867035201</v>
      </c>
      <c r="F20" s="6">
        <f>+'2004'!E20</f>
        <v>0.96923822389286973</v>
      </c>
      <c r="G20" s="6">
        <f>+'2005'!E20</f>
        <v>0.98467486232408075</v>
      </c>
      <c r="H20" s="6">
        <f>+'2006'!E20</f>
        <v>0.97551253622104017</v>
      </c>
      <c r="I20" s="6">
        <f>+'2007'!E20</f>
        <v>1.0202591125730012</v>
      </c>
      <c r="J20" s="6">
        <f>+'2008'!E20</f>
        <v>0.99117658440938583</v>
      </c>
      <c r="K20" s="6">
        <f>+'2009'!E20</f>
        <v>0.96830999776923377</v>
      </c>
      <c r="L20" s="6">
        <f>+'2010'!E20</f>
        <v>0.95894618388826369</v>
      </c>
      <c r="M20" s="6">
        <f>+'2011'!E20</f>
        <v>0.99166645526269059</v>
      </c>
      <c r="N20" s="6">
        <f>+'2012'!E20</f>
        <v>1.0117363541056816</v>
      </c>
      <c r="O20" s="6">
        <f>+'2013'!E20</f>
        <v>1.0231450614344224</v>
      </c>
      <c r="P20" s="6">
        <f>+'2014'!E20</f>
        <v>1.0181493254427469</v>
      </c>
      <c r="Q20" s="6">
        <f>+'2015'!E20</f>
        <v>1.0322054955870725</v>
      </c>
      <c r="R20" s="6">
        <f>+'2016'!E20</f>
        <v>1.087115165336374</v>
      </c>
      <c r="S20" s="6">
        <f>+'2017'!E20</f>
        <v>1.0440008455893455</v>
      </c>
      <c r="T20" s="6">
        <f>+'2018'!E20</f>
        <v>1.0243449116392445</v>
      </c>
      <c r="U20" s="6">
        <f>+'2019'!E20</f>
        <v>0.97592418177537088</v>
      </c>
      <c r="V20" s="6">
        <f>+'2020'!E20</f>
        <v>0.96558455643120522</v>
      </c>
      <c r="W20" s="6">
        <f>+'2021'!E20</f>
        <v>0.96444805194805194</v>
      </c>
      <c r="X20" s="6">
        <f>+'2022'!F20</f>
        <v>1.248822605965463</v>
      </c>
    </row>
    <row r="21" spans="2:24" s="7" customFormat="1" ht="20.100000000000001" customHeight="1" thickBot="1" x14ac:dyDescent="0.25">
      <c r="B21" s="5" t="s">
        <v>51</v>
      </c>
      <c r="C21" s="6">
        <f>+'2001'!E21</f>
        <v>1.0319867286618847</v>
      </c>
      <c r="D21" s="6">
        <f>+'2002'!E21</f>
        <v>1.0055609338766689</v>
      </c>
      <c r="E21" s="6">
        <f>+'2003'!E21</f>
        <v>0.98164058164058166</v>
      </c>
      <c r="F21" s="6">
        <f>+'2004'!E21</f>
        <v>1.0038761279737489</v>
      </c>
      <c r="G21" s="6">
        <f>+'2005'!E21</f>
        <v>1.005981404346882</v>
      </c>
      <c r="H21" s="6">
        <f>+'2006'!E21</f>
        <v>0.96058156418004159</v>
      </c>
      <c r="I21" s="6">
        <f>+'2007'!E21</f>
        <v>0.99107704163371257</v>
      </c>
      <c r="J21" s="6">
        <f>+'2008'!E21</f>
        <v>0.97141875906281006</v>
      </c>
      <c r="K21" s="6">
        <f>+'2009'!E21</f>
        <v>0.95598746523009748</v>
      </c>
      <c r="L21" s="6">
        <f>+'2010'!E21</f>
        <v>0.99106786245960565</v>
      </c>
      <c r="M21" s="6">
        <f>+'2011'!E21</f>
        <v>0.98402194964493217</v>
      </c>
      <c r="N21" s="6">
        <f>+'2012'!E21</f>
        <v>1.050013306466943</v>
      </c>
      <c r="O21" s="6">
        <f>+'2013'!E21</f>
        <v>1.0214582546278805</v>
      </c>
      <c r="P21" s="6">
        <f>+'2014'!E21</f>
        <v>1.0188310809504475</v>
      </c>
      <c r="Q21" s="6">
        <f>+'2015'!E21</f>
        <v>1.046320433126128</v>
      </c>
      <c r="R21" s="6">
        <f>+'2016'!E21</f>
        <v>1.018517348164065</v>
      </c>
      <c r="S21" s="6">
        <f>+'2017'!E21</f>
        <v>1.011816192560175</v>
      </c>
      <c r="T21" s="6">
        <f>+'2018'!E21</f>
        <v>0.99444688002338155</v>
      </c>
      <c r="U21" s="6">
        <f>+'2019'!E21</f>
        <v>1.0023149026602407</v>
      </c>
      <c r="V21" s="6">
        <f>+'2020'!E21</f>
        <v>0.98646630154347525</v>
      </c>
      <c r="W21" s="6">
        <f>+'2021'!E21</f>
        <v>0.99081132308706577</v>
      </c>
      <c r="X21" s="6">
        <f>+'2022'!F21</f>
        <v>0.71805702217529044</v>
      </c>
    </row>
    <row r="22" spans="2:24" s="7" customFormat="1" ht="15" thickBot="1" x14ac:dyDescent="0.25">
      <c r="B22" s="5" t="s">
        <v>52</v>
      </c>
      <c r="C22" s="6">
        <f>+'2001'!E22</f>
        <v>1.0040218017671918</v>
      </c>
      <c r="D22" s="6">
        <f>+'2002'!E22</f>
        <v>1.0054028067123006</v>
      </c>
      <c r="E22" s="6">
        <f>+'2003'!E22</f>
        <v>1.0350977159206634</v>
      </c>
      <c r="F22" s="6">
        <f>+'2004'!E22</f>
        <v>1.0133066389398935</v>
      </c>
      <c r="G22" s="6">
        <f>+'2005'!E22</f>
        <v>0.99790790709066413</v>
      </c>
      <c r="H22" s="6">
        <f>+'2006'!E22</f>
        <v>1.0065950920245399</v>
      </c>
      <c r="I22" s="6">
        <f>+'2007'!E22</f>
        <v>1.0002223941210597</v>
      </c>
      <c r="J22" s="6">
        <f>+'2008'!E22</f>
        <v>1.0018822860897283</v>
      </c>
      <c r="K22" s="6">
        <f>+'2009'!E22</f>
        <v>0.99812348886723679</v>
      </c>
      <c r="L22" s="6">
        <f>+'2010'!E22</f>
        <v>1.0011109212100495</v>
      </c>
      <c r="M22" s="6">
        <f>+'2011'!E22</f>
        <v>1.0178411530795968</v>
      </c>
      <c r="N22" s="6">
        <f>+'2012'!E22</f>
        <v>1.0187600224115614</v>
      </c>
      <c r="O22" s="6">
        <f>+'2013'!E22</f>
        <v>1.0196851552155364</v>
      </c>
      <c r="P22" s="6">
        <f>+'2014'!E22</f>
        <v>1.0054272281275551</v>
      </c>
      <c r="Q22" s="6">
        <f>+'2015'!E22</f>
        <v>1.0306678684865653</v>
      </c>
      <c r="R22" s="6">
        <f>+'2016'!E22</f>
        <v>1.0291627156427277</v>
      </c>
      <c r="S22" s="6">
        <f>+'2017'!E22</f>
        <v>1.008299469660445</v>
      </c>
      <c r="T22" s="6">
        <f>+'2018'!E22</f>
        <v>1.0097904375836984</v>
      </c>
      <c r="U22" s="6">
        <f>+'2019'!E22</f>
        <v>1.009495217482371</v>
      </c>
      <c r="V22" s="6">
        <f>+'2020'!E22</f>
        <v>0.9881188511583624</v>
      </c>
      <c r="W22" s="6">
        <f>+'2021'!E22</f>
        <v>1.0335121364884017</v>
      </c>
      <c r="X22" s="6">
        <f>+'2022'!F22</f>
        <v>1.1000000000000001</v>
      </c>
    </row>
    <row r="23" spans="2:24" s="7" customFormat="1" ht="20.100000000000001" customHeight="1" thickBot="1" x14ac:dyDescent="0.25">
      <c r="B23" s="5" t="s">
        <v>53</v>
      </c>
      <c r="C23" s="6">
        <f>+'2001'!E23</f>
        <v>0.98019801980198018</v>
      </c>
      <c r="D23" s="6">
        <f>+'2002'!E23</f>
        <v>1.0085332633168138</v>
      </c>
      <c r="E23" s="6">
        <f>+'2003'!E23</f>
        <v>1.0151840255730957</v>
      </c>
      <c r="F23" s="6">
        <f>+'2004'!E23</f>
        <v>1.0206497449087153</v>
      </c>
      <c r="G23" s="6">
        <f>+'2005'!E23</f>
        <v>1.004415077945827</v>
      </c>
      <c r="H23" s="6">
        <f>+'2006'!E23</f>
        <v>0.9909186888599284</v>
      </c>
      <c r="I23" s="6">
        <f>+'2007'!E23</f>
        <v>1.0073489060151273</v>
      </c>
      <c r="J23" s="6">
        <f>+'2008'!E23</f>
        <v>0.99499196753829566</v>
      </c>
      <c r="K23" s="6">
        <f>+'2009'!E23</f>
        <v>0.98827091014942747</v>
      </c>
      <c r="L23" s="6">
        <f>+'2010'!E23</f>
        <v>0.99703643938277253</v>
      </c>
      <c r="M23" s="6">
        <f>+'2011'!E23</f>
        <v>0.99030161741290124</v>
      </c>
      <c r="N23" s="6">
        <f>+'2012'!E23</f>
        <v>0.98325534043009222</v>
      </c>
      <c r="O23" s="6">
        <f>+'2013'!E23</f>
        <v>0.97214766938708441</v>
      </c>
      <c r="P23" s="6">
        <f>+'2014'!E23</f>
        <v>1.0156117106730425</v>
      </c>
      <c r="Q23" s="6">
        <f>+'2015'!E23</f>
        <v>1.0279229537216557</v>
      </c>
      <c r="R23" s="6">
        <f>+'2016'!E23</f>
        <v>1.053988495391226</v>
      </c>
      <c r="S23" s="6">
        <f>+'2017'!E23</f>
        <v>1.0316574946366943</v>
      </c>
      <c r="T23" s="6">
        <f>+'2018'!E23</f>
        <v>0.95570733303341382</v>
      </c>
      <c r="U23" s="6">
        <f>+'2019'!E23</f>
        <v>0.98112703471175311</v>
      </c>
      <c r="V23" s="6">
        <f>+'2020'!E23</f>
        <v>0.97929223048239955</v>
      </c>
      <c r="W23" s="6">
        <f>+'2021'!E23</f>
        <v>1.0184531827998375</v>
      </c>
      <c r="X23" s="6">
        <f>+'2022'!F23</f>
        <v>1.0126067507116714</v>
      </c>
    </row>
    <row r="24" spans="2:24" s="7" customFormat="1" ht="20.100000000000001" customHeight="1" thickBot="1" x14ac:dyDescent="0.25">
      <c r="B24" s="5" t="s">
        <v>54</v>
      </c>
      <c r="C24" s="6">
        <f>+'2001'!E24</f>
        <v>0.99691774224619534</v>
      </c>
      <c r="D24" s="6">
        <f>+'2002'!E24</f>
        <v>0.97822905232345403</v>
      </c>
      <c r="E24" s="6">
        <f>+'2003'!E24</f>
        <v>0.97202047862840812</v>
      </c>
      <c r="F24" s="6">
        <f>+'2004'!E24</f>
        <v>1.0713630631663418</v>
      </c>
      <c r="G24" s="6">
        <f>+'2005'!E24</f>
        <v>1.0215430861723447</v>
      </c>
      <c r="H24" s="6">
        <f>+'2006'!E24</f>
        <v>0.97582001682085784</v>
      </c>
      <c r="I24" s="6">
        <f>+'2007'!E24</f>
        <v>0.95575629090238734</v>
      </c>
      <c r="J24" s="6">
        <f>+'2008'!E24</f>
        <v>0.94866391300682795</v>
      </c>
      <c r="K24" s="6">
        <f>+'2009'!E24</f>
        <v>0.99576004365895643</v>
      </c>
      <c r="L24" s="6">
        <f>+'2010'!E24</f>
        <v>0.94168682739634602</v>
      </c>
      <c r="M24" s="6">
        <f>+'2011'!E24</f>
        <v>1.0396018083811511</v>
      </c>
      <c r="N24" s="6">
        <f>+'2012'!E24</f>
        <v>1.011183129450429</v>
      </c>
      <c r="O24" s="6">
        <f>+'2013'!E24</f>
        <v>0.9917727338721386</v>
      </c>
      <c r="P24" s="6">
        <f>+'2014'!E24</f>
        <v>1.010232465726207</v>
      </c>
      <c r="Q24" s="6">
        <f>+'2015'!E24</f>
        <v>0.99315281668222843</v>
      </c>
      <c r="R24" s="6">
        <f>+'2016'!E24</f>
        <v>1.0624520337682273</v>
      </c>
      <c r="S24" s="6">
        <f>+'2017'!E24</f>
        <v>0.96991049323938294</v>
      </c>
      <c r="T24" s="6">
        <f>+'2018'!E24</f>
        <v>0.94532163742690056</v>
      </c>
      <c r="U24" s="6">
        <f>+'2019'!E24</f>
        <v>0.98676553407171019</v>
      </c>
      <c r="V24" s="6">
        <f>+'2020'!E24</f>
        <v>0.88305274971941639</v>
      </c>
      <c r="W24" s="6">
        <f>+'2021'!E24</f>
        <v>0.93827522218966697</v>
      </c>
      <c r="X24" s="6">
        <f>+'2022'!F24</f>
        <v>1.0110132158590308</v>
      </c>
    </row>
    <row r="25" spans="2:24" s="7" customFormat="1" ht="20.100000000000001" customHeight="1" thickBot="1" x14ac:dyDescent="0.25">
      <c r="B25" s="5" t="s">
        <v>55</v>
      </c>
      <c r="C25" s="6">
        <f>+'2001'!E25</f>
        <v>0.97248269122814313</v>
      </c>
      <c r="D25" s="6">
        <f>+'2002'!E25</f>
        <v>1.0166253570828432</v>
      </c>
      <c r="E25" s="6">
        <f>+'2003'!E25</f>
        <v>1.011880055342699</v>
      </c>
      <c r="F25" s="6">
        <f>+'2004'!E25</f>
        <v>1.0112305319787633</v>
      </c>
      <c r="G25" s="6">
        <f>+'2005'!E25</f>
        <v>1.0034238228432817</v>
      </c>
      <c r="H25" s="6">
        <f>+'2006'!E25</f>
        <v>0.99579731164989782</v>
      </c>
      <c r="I25" s="6">
        <f>+'2007'!E25</f>
        <v>1.0094011900530824</v>
      </c>
      <c r="J25" s="6">
        <f>+'2008'!E25</f>
        <v>1.0121020460615271</v>
      </c>
      <c r="K25" s="6">
        <f>+'2009'!E25</f>
        <v>1.0178491744756806</v>
      </c>
      <c r="L25" s="6">
        <f>+'2010'!E25</f>
        <v>0.99762554784991786</v>
      </c>
      <c r="M25" s="6">
        <f>+'2011'!E25</f>
        <v>1.001158819849661</v>
      </c>
      <c r="N25" s="6">
        <f>+'2012'!E25</f>
        <v>1.0146421986879903</v>
      </c>
      <c r="O25" s="6">
        <f>+'2013'!E25</f>
        <v>1.0312576131512885</v>
      </c>
      <c r="P25" s="6">
        <f>+'2014'!E25</f>
        <v>1.0253650616024312</v>
      </c>
      <c r="Q25" s="6">
        <f>+'2015'!E25</f>
        <v>1.0373483252402573</v>
      </c>
      <c r="R25" s="6">
        <f>+'2016'!E25</f>
        <v>1.036971459887863</v>
      </c>
      <c r="S25" s="6">
        <f>+'2017'!E25</f>
        <v>1.0335323650337802</v>
      </c>
      <c r="T25" s="6">
        <f>+'2018'!E25</f>
        <v>1.0132215096201282</v>
      </c>
      <c r="U25" s="6">
        <f>+'2019'!E25</f>
        <v>1.001743970315399</v>
      </c>
      <c r="V25" s="6">
        <f>+'2020'!E25</f>
        <v>0.95819597069597073</v>
      </c>
      <c r="W25" s="6">
        <f>+'2021'!E25</f>
        <v>0.97811500351096203</v>
      </c>
      <c r="X25" s="6">
        <f>+'2022'!F25</f>
        <v>1.1401869158878504</v>
      </c>
    </row>
    <row r="26" spans="2:24" s="7" customFormat="1" ht="20.100000000000001" customHeight="1" thickBot="1" x14ac:dyDescent="0.25">
      <c r="B26" s="5" t="s">
        <v>56</v>
      </c>
      <c r="C26" s="6">
        <f>+'2001'!E26</f>
        <v>1.00276911445043</v>
      </c>
      <c r="D26" s="6">
        <f>+'2002'!E26</f>
        <v>1.0171235590064573</v>
      </c>
      <c r="E26" s="6">
        <f>+'2003'!E26</f>
        <v>1.0114012761061331</v>
      </c>
      <c r="F26" s="6">
        <f>+'2004'!E26</f>
        <v>1.0191554107396614</v>
      </c>
      <c r="G26" s="6">
        <f>+'2005'!E26</f>
        <v>1.0041950029568303</v>
      </c>
      <c r="H26" s="6">
        <f>+'2006'!E26</f>
        <v>1.0117154149303691</v>
      </c>
      <c r="I26" s="6">
        <f>+'2007'!E26</f>
        <v>1.0051930292482256</v>
      </c>
      <c r="J26" s="6">
        <f>+'2008'!E26</f>
        <v>1.0084041439990357</v>
      </c>
      <c r="K26" s="6">
        <f>+'2009'!E26</f>
        <v>1.0015029406593656</v>
      </c>
      <c r="L26" s="6">
        <f>+'2010'!E26</f>
        <v>1.0076406536629698</v>
      </c>
      <c r="M26" s="6">
        <f>+'2011'!E26</f>
        <v>1.0102124884144039</v>
      </c>
      <c r="N26" s="6">
        <f>+'2012'!E26</f>
        <v>1.0127451662261788</v>
      </c>
      <c r="O26" s="6">
        <f>+'2013'!E26</f>
        <v>1.0052794905896103</v>
      </c>
      <c r="P26" s="6">
        <f>+'2014'!E26</f>
        <v>1.0128722736409241</v>
      </c>
      <c r="Q26" s="6">
        <f>+'2015'!E26</f>
        <v>1.0246292958993328</v>
      </c>
      <c r="R26" s="6">
        <f>+'2016'!E26</f>
        <v>1.0230297996054407</v>
      </c>
      <c r="S26" s="6">
        <f>+'2017'!E26</f>
        <v>1.0019890069936053</v>
      </c>
      <c r="T26" s="6">
        <f>+'2018'!E26</f>
        <v>0.99938155259747907</v>
      </c>
      <c r="U26" s="6">
        <f>+'2019'!E26</f>
        <v>1.004312159709619</v>
      </c>
      <c r="V26" s="6">
        <f>+'2020'!E26</f>
        <v>0.97059647619204592</v>
      </c>
      <c r="W26" s="6">
        <f>+'2021'!E26</f>
        <v>0.99901114579948858</v>
      </c>
      <c r="X26" s="6">
        <f>+'2022'!F26</f>
        <v>0.97118429385687144</v>
      </c>
    </row>
    <row r="27" spans="2:24" ht="15" thickBot="1" x14ac:dyDescent="0.25">
      <c r="B27" s="5" t="s">
        <v>57</v>
      </c>
      <c r="C27" s="6">
        <f>+'2001'!E27</f>
        <v>1.0410902454818391</v>
      </c>
      <c r="D27" s="6">
        <f>+'2002'!E27</f>
        <v>0.97454270068740534</v>
      </c>
      <c r="E27" s="6">
        <f>+'2003'!E27</f>
        <v>1.0467829758862095</v>
      </c>
      <c r="F27" s="6">
        <f>+'2004'!E27</f>
        <v>0.97436180184153942</v>
      </c>
      <c r="G27" s="6">
        <f>+'2005'!E27</f>
        <v>1.0287758983084776</v>
      </c>
      <c r="H27" s="6">
        <f>+'2006'!E27</f>
        <v>0.97957594115101687</v>
      </c>
      <c r="I27" s="6">
        <f>+'2007'!E27</f>
        <v>0.96229448888531577</v>
      </c>
      <c r="J27" s="6">
        <f>+'2008'!E27</f>
        <v>0.89436119593778851</v>
      </c>
      <c r="K27" s="6">
        <f>+'2009'!E27</f>
        <v>1.0389579185830988</v>
      </c>
      <c r="L27" s="6">
        <f>+'2010'!E27</f>
        <v>0.98722764838467314</v>
      </c>
      <c r="M27" s="6">
        <f>+'2011'!E27</f>
        <v>0.8998467381888452</v>
      </c>
      <c r="N27" s="6">
        <f>+'2012'!E27</f>
        <v>1.1245395485901815</v>
      </c>
      <c r="O27" s="6">
        <f>+'2013'!E27</f>
        <v>1.0254798025955036</v>
      </c>
      <c r="P27" s="6">
        <f>+'2014'!E27</f>
        <v>1.0353520954669491</v>
      </c>
      <c r="Q27" s="6">
        <f>+'2015'!E27</f>
        <v>1.0356112439205343</v>
      </c>
      <c r="R27" s="6">
        <f>+'2016'!E27</f>
        <v>1.0161755771567436</v>
      </c>
      <c r="S27" s="6">
        <f>+'2017'!E27</f>
        <v>1.0753360953749895</v>
      </c>
      <c r="T27" s="6">
        <f>+'2018'!E27</f>
        <v>1.0017615971814444</v>
      </c>
      <c r="U27" s="6">
        <f>+'2019'!E27</f>
        <v>0.9996049616812831</v>
      </c>
      <c r="V27" s="6">
        <f>+'2020'!E27</f>
        <v>1.0021016081871346</v>
      </c>
      <c r="W27" s="6">
        <f>+'2021'!E27</f>
        <v>1.0461330732878253</v>
      </c>
      <c r="X27" s="6">
        <f>+'2022'!F27</f>
        <v>1.0909090909090908</v>
      </c>
    </row>
    <row r="28" spans="2:24" ht="15" thickBot="1" x14ac:dyDescent="0.25">
      <c r="B28" s="5" t="s">
        <v>58</v>
      </c>
      <c r="C28" s="6">
        <f>+'2001'!E28</f>
        <v>1.0226657306187945</v>
      </c>
      <c r="D28" s="6">
        <f>+'2002'!E28</f>
        <v>1.0001017998208324</v>
      </c>
      <c r="E28" s="6">
        <f>+'2003'!E28</f>
        <v>1.0173448433979944</v>
      </c>
      <c r="F28" s="6">
        <f>+'2004'!E28</f>
        <v>1.0195062838379298</v>
      </c>
      <c r="G28" s="6">
        <f>+'2005'!E28</f>
        <v>1.021545962097979</v>
      </c>
      <c r="H28" s="6">
        <f>+'2006'!E28</f>
        <v>0.97210798872896198</v>
      </c>
      <c r="I28" s="6">
        <f>+'2007'!E28</f>
        <v>0.99366320374138728</v>
      </c>
      <c r="J28" s="6">
        <f>+'2008'!E28</f>
        <v>0.99478205310237111</v>
      </c>
      <c r="K28" s="6">
        <f>+'2009'!E28</f>
        <v>0.98999523582658411</v>
      </c>
      <c r="L28" s="6">
        <f>+'2010'!E28</f>
        <v>1.0252727094047891</v>
      </c>
      <c r="M28" s="6">
        <f>+'2011'!E28</f>
        <v>1.0235480680694335</v>
      </c>
      <c r="N28" s="6">
        <f>+'2012'!E28</f>
        <v>1.0257957905722734</v>
      </c>
      <c r="O28" s="6">
        <f>+'2013'!E28</f>
        <v>1.0182247660579631</v>
      </c>
      <c r="P28" s="6">
        <f>+'2014'!E28</f>
        <v>1.0206940649886647</v>
      </c>
      <c r="Q28" s="6">
        <f>+'2015'!E28</f>
        <v>1.0277783426537874</v>
      </c>
      <c r="R28" s="6">
        <f>+'2016'!E28</f>
        <v>1.0322115706911577</v>
      </c>
      <c r="S28" s="6">
        <f>+'2017'!E28</f>
        <v>0.98430226631782813</v>
      </c>
      <c r="T28" s="6">
        <f>+'2018'!E28</f>
        <v>0.99561173696620386</v>
      </c>
      <c r="U28" s="6">
        <f>+'2019'!E28</f>
        <v>0.99200199950012502</v>
      </c>
      <c r="V28" s="6">
        <f>+'2020'!E28</f>
        <v>0.97655896119583274</v>
      </c>
      <c r="W28" s="6">
        <f>+'2021'!E28</f>
        <v>0.99006565007468128</v>
      </c>
      <c r="X28" s="6">
        <f>+'2022'!F28</f>
        <v>0.89720930232558138</v>
      </c>
    </row>
    <row r="29" spans="2:24" ht="15" thickBot="1" x14ac:dyDescent="0.25">
      <c r="B29" s="5" t="s">
        <v>59</v>
      </c>
      <c r="C29" s="6">
        <f>+'2001'!E29</f>
        <v>1.0262692512404925</v>
      </c>
      <c r="D29" s="6">
        <f>+'2002'!E29</f>
        <v>0.99841714152420935</v>
      </c>
      <c r="E29" s="6">
        <f>+'2003'!E29</f>
        <v>1.0062156386120038</v>
      </c>
      <c r="F29" s="6">
        <f>+'2004'!E29</f>
        <v>1.0078003120124805</v>
      </c>
      <c r="G29" s="6">
        <f>+'2005'!E29</f>
        <v>1.0074748080046678</v>
      </c>
      <c r="H29" s="6">
        <f>+'2006'!E29</f>
        <v>0.97541989760785608</v>
      </c>
      <c r="I29" s="6">
        <f>+'2007'!E29</f>
        <v>0.98969342874023503</v>
      </c>
      <c r="J29" s="6">
        <f>+'2008'!E29</f>
        <v>0.96914092562133125</v>
      </c>
      <c r="K29" s="6">
        <f>+'2009'!E29</f>
        <v>1.0141667966589616</v>
      </c>
      <c r="L29" s="6">
        <f>+'2010'!E29</f>
        <v>0.96768592649754026</v>
      </c>
      <c r="M29" s="6">
        <f>+'2011'!E29</f>
        <v>0.94821319983595664</v>
      </c>
      <c r="N29" s="6">
        <f>+'2012'!E29</f>
        <v>0.97524668971915329</v>
      </c>
      <c r="O29" s="6">
        <f>+'2013'!E29</f>
        <v>1.0284094964809343</v>
      </c>
      <c r="P29" s="6">
        <f>+'2014'!E29</f>
        <v>1.0086676313944294</v>
      </c>
      <c r="Q29" s="6">
        <f>+'2015'!E29</f>
        <v>1.0513690845998818</v>
      </c>
      <c r="R29" s="6">
        <f>+'2016'!E29</f>
        <v>1.0281614684027858</v>
      </c>
      <c r="S29" s="6">
        <f>+'2017'!E29</f>
        <v>1.0019396931758067</v>
      </c>
      <c r="T29" s="6">
        <f>+'2018'!E29</f>
        <v>1.0121676179869135</v>
      </c>
      <c r="U29" s="6">
        <f>+'2019'!E29</f>
        <v>0.98403159340659341</v>
      </c>
      <c r="V29" s="6">
        <f>+'2020'!E29</f>
        <v>0.93569642495100358</v>
      </c>
      <c r="W29" s="6">
        <f>+'2021'!E29</f>
        <v>0.94915303995537681</v>
      </c>
      <c r="X29" s="6">
        <f>+'2022'!F29</f>
        <v>0.91348448687350836</v>
      </c>
    </row>
    <row r="30" spans="2:24" ht="15" thickBot="1" x14ac:dyDescent="0.25">
      <c r="B30" s="5" t="s">
        <v>60</v>
      </c>
      <c r="C30" s="6">
        <f>+'2001'!E30</f>
        <v>0.97209332723351416</v>
      </c>
      <c r="D30" s="6">
        <f>+'2002'!E30</f>
        <v>0.97112608277189605</v>
      </c>
      <c r="E30" s="6">
        <f>+'2003'!E30</f>
        <v>1.0324882629107981</v>
      </c>
      <c r="F30" s="6">
        <f>+'2004'!E30</f>
        <v>0.98267250416229879</v>
      </c>
      <c r="G30" s="6">
        <f>+'2005'!E30</f>
        <v>0.94021378102542419</v>
      </c>
      <c r="H30" s="6">
        <f>+'2006'!E30</f>
        <v>0.92750533049040507</v>
      </c>
      <c r="I30" s="6">
        <f>+'2007'!E30</f>
        <v>0.9886960032297134</v>
      </c>
      <c r="J30" s="6">
        <f>+'2008'!E30</f>
        <v>1.0015457443725244</v>
      </c>
      <c r="K30" s="6">
        <f>+'2009'!E30</f>
        <v>1.0016264696314885</v>
      </c>
      <c r="L30" s="6">
        <f>+'2010'!E30</f>
        <v>0.98637986098065</v>
      </c>
      <c r="M30" s="6">
        <f>+'2011'!E30</f>
        <v>0.99898124565871727</v>
      </c>
      <c r="N30" s="6">
        <f>+'2012'!E30</f>
        <v>0.99811218985976269</v>
      </c>
      <c r="O30" s="6">
        <f>+'2013'!E30</f>
        <v>1.0034766697163768</v>
      </c>
      <c r="P30" s="6">
        <f>+'2014'!E30</f>
        <v>0.99217897417242629</v>
      </c>
      <c r="Q30" s="6">
        <f>+'2015'!E30</f>
        <v>1.0356035001620445</v>
      </c>
      <c r="R30" s="6">
        <f>+'2016'!E30</f>
        <v>1.0339753657931718</v>
      </c>
      <c r="S30" s="6">
        <f>+'2017'!E30</f>
        <v>0.99502743484224965</v>
      </c>
      <c r="T30" s="6">
        <f>+'2018'!E30</f>
        <v>0.97922822096875284</v>
      </c>
      <c r="U30" s="6">
        <f>+'2019'!E30</f>
        <v>0.99629317607413648</v>
      </c>
      <c r="V30" s="6">
        <f>+'2020'!E30</f>
        <v>0.98974674459140777</v>
      </c>
      <c r="W30" s="6">
        <f>+'2021'!E30</f>
        <v>1.0469216164903716</v>
      </c>
      <c r="X30" s="6">
        <f>+'2022'!F30</f>
        <v>1.0063897763578276</v>
      </c>
    </row>
    <row r="31" spans="2:24" ht="15" thickBot="1" x14ac:dyDescent="0.25">
      <c r="B31" s="5" t="s">
        <v>61</v>
      </c>
      <c r="C31" s="6">
        <f>+'2001'!E31</f>
        <v>1.0094117199680572</v>
      </c>
      <c r="D31" s="6">
        <f>+'2002'!E31</f>
        <v>1.0398418826990257</v>
      </c>
      <c r="E31" s="6">
        <f>+'2003'!E31</f>
        <v>1.0239202534694558</v>
      </c>
      <c r="F31" s="6">
        <f>+'2004'!E31</f>
        <v>1.0025205025957415</v>
      </c>
      <c r="G31" s="6">
        <f>+'2005'!E31</f>
        <v>1.0074558844975936</v>
      </c>
      <c r="H31" s="6">
        <f>+'2006'!E31</f>
        <v>0.99939256909526542</v>
      </c>
      <c r="I31" s="6">
        <f>+'2007'!E31</f>
        <v>1.0096111839231106</v>
      </c>
      <c r="J31" s="6">
        <f>+'2008'!E31</f>
        <v>1.0078385921034572</v>
      </c>
      <c r="K31" s="6">
        <f>+'2009'!E31</f>
        <v>0.9855902238397467</v>
      </c>
      <c r="L31" s="6">
        <f>+'2010'!E31</f>
        <v>0.99539839491632198</v>
      </c>
      <c r="M31" s="6">
        <f>+'2011'!E31</f>
        <v>1.0078815022393475</v>
      </c>
      <c r="N31" s="6">
        <f>+'2012'!E31</f>
        <v>1.0127169801196576</v>
      </c>
      <c r="O31" s="6">
        <f>+'2013'!E31</f>
        <v>1.0037438311872482</v>
      </c>
      <c r="P31" s="6">
        <f>+'2014'!E31</f>
        <v>1.0134831786122898</v>
      </c>
      <c r="Q31" s="6">
        <f>+'2015'!E31</f>
        <v>1.0263260588959264</v>
      </c>
      <c r="R31" s="6">
        <f>+'2016'!E31</f>
        <v>1.0289715835094686</v>
      </c>
      <c r="S31" s="6">
        <f>+'2017'!E31</f>
        <v>1.0401156315901714</v>
      </c>
      <c r="T31" s="6">
        <f>+'2018'!E31</f>
        <v>1.030233565115509</v>
      </c>
      <c r="U31" s="6">
        <f>+'2019'!E31</f>
        <v>0.99765295358649786</v>
      </c>
      <c r="V31" s="6">
        <f>+'2020'!E31</f>
        <v>0.97044259219389173</v>
      </c>
      <c r="W31" s="6">
        <f>+'2021'!E31</f>
        <v>1.0167332667332667</v>
      </c>
      <c r="X31" s="6">
        <f>+'2022'!F31</f>
        <v>1.1342512908777969</v>
      </c>
    </row>
    <row r="32" spans="2:24" ht="15" thickBot="1" x14ac:dyDescent="0.25">
      <c r="B32" s="5" t="s">
        <v>62</v>
      </c>
      <c r="C32" s="6">
        <f>+'2001'!E32</f>
        <v>0.99665674937889148</v>
      </c>
      <c r="D32" s="6">
        <f>+'2002'!E32</f>
        <v>0.97181952286484563</v>
      </c>
      <c r="E32" s="6">
        <f>+'2003'!E32</f>
        <v>1.0139426627576482</v>
      </c>
      <c r="F32" s="6">
        <f>+'2004'!E32</f>
        <v>1.0306347208486919</v>
      </c>
      <c r="G32" s="6">
        <f>+'2005'!E32</f>
        <v>1.0018797777684949</v>
      </c>
      <c r="H32" s="6">
        <f>+'2006'!E32</f>
        <v>1.0051193179554598</v>
      </c>
      <c r="I32" s="6">
        <f>+'2007'!E32</f>
        <v>0.96578865479306619</v>
      </c>
      <c r="J32" s="6">
        <f>+'2008'!E32</f>
        <v>0.97864652370490079</v>
      </c>
      <c r="K32" s="6">
        <f>+'2009'!E32</f>
        <v>0.9615179600048146</v>
      </c>
      <c r="L32" s="6">
        <f>+'2010'!E32</f>
        <v>0.99535199498642157</v>
      </c>
      <c r="M32" s="6">
        <f>+'2011'!E32</f>
        <v>0.98105428675525896</v>
      </c>
      <c r="N32" s="6">
        <f>+'2012'!E32</f>
        <v>1.027874844358758</v>
      </c>
      <c r="O32" s="6">
        <f>+'2013'!E32</f>
        <v>1.0352815926753967</v>
      </c>
      <c r="P32" s="6">
        <f>+'2014'!E32</f>
        <v>1.0288810232133938</v>
      </c>
      <c r="Q32" s="6">
        <f>+'2015'!E32</f>
        <v>1.0248022132699122</v>
      </c>
      <c r="R32" s="6">
        <f>+'2016'!E32</f>
        <v>1.0210568136670639</v>
      </c>
      <c r="S32" s="6">
        <f>+'2017'!E32</f>
        <v>1.0188512257721922</v>
      </c>
      <c r="T32" s="6">
        <f>+'2018'!E32</f>
        <v>1.013458110516934</v>
      </c>
      <c r="U32" s="6">
        <f>+'2019'!E32</f>
        <v>1.0003325988442191</v>
      </c>
      <c r="V32" s="6">
        <f>+'2020'!E32</f>
        <v>0.97901157981803144</v>
      </c>
      <c r="W32" s="6">
        <f>+'2021'!E32</f>
        <v>1.0003239840784968</v>
      </c>
      <c r="X32" s="6">
        <f>+'2022'!F32</f>
        <v>1.0813333333333333</v>
      </c>
    </row>
    <row r="33" spans="2:24" ht="15" thickBot="1" x14ac:dyDescent="0.25">
      <c r="B33" s="5" t="s">
        <v>63</v>
      </c>
      <c r="C33" s="6">
        <f>+'2001'!E33</f>
        <v>0.97873771642489471</v>
      </c>
      <c r="D33" s="6">
        <f>+'2002'!E33</f>
        <v>1.0062803779149145</v>
      </c>
      <c r="E33" s="6">
        <f>+'2003'!E33</f>
        <v>1.0167420194547199</v>
      </c>
      <c r="F33" s="6">
        <f>+'2004'!E33</f>
        <v>1.0326589438190026</v>
      </c>
      <c r="G33" s="6">
        <f>+'2005'!E33</f>
        <v>1.0146014843497904</v>
      </c>
      <c r="H33" s="6">
        <f>+'2006'!E33</f>
        <v>0.99581054036024019</v>
      </c>
      <c r="I33" s="6">
        <f>+'2007'!E33</f>
        <v>0.96096708418293042</v>
      </c>
      <c r="J33" s="6">
        <f>+'2008'!E33</f>
        <v>1.0056554231468391</v>
      </c>
      <c r="K33" s="6">
        <f>+'2009'!E33</f>
        <v>0.97493576161925799</v>
      </c>
      <c r="L33" s="6">
        <f>+'2010'!E33</f>
        <v>0.97240743367853599</v>
      </c>
      <c r="M33" s="6">
        <f>+'2011'!E33</f>
        <v>0.99930602027412196</v>
      </c>
      <c r="N33" s="6">
        <f>+'2012'!E33</f>
        <v>0.99539491041661665</v>
      </c>
      <c r="O33" s="6">
        <f>+'2013'!E33</f>
        <v>1.0076627465506065</v>
      </c>
      <c r="P33" s="6">
        <f>+'2014'!E33</f>
        <v>1.0128558960205694</v>
      </c>
      <c r="Q33" s="6">
        <f>+'2015'!E33</f>
        <v>1.0418230000262378</v>
      </c>
      <c r="R33" s="6">
        <f>+'2016'!E33</f>
        <v>1.0490003417634997</v>
      </c>
      <c r="S33" s="6">
        <f>+'2017'!E33</f>
        <v>1.0177575059782127</v>
      </c>
      <c r="T33" s="6">
        <f>+'2018'!E33</f>
        <v>0.98151475226574036</v>
      </c>
      <c r="U33" s="6">
        <f>+'2019'!E33</f>
        <v>0.96901046447585826</v>
      </c>
      <c r="V33" s="6">
        <f>+'2020'!E33</f>
        <v>0.91932647498461273</v>
      </c>
      <c r="W33" s="6">
        <f>+'2021'!E33</f>
        <v>1.0059548486790035</v>
      </c>
      <c r="X33" s="6">
        <f>+'2022'!F33</f>
        <v>0.94128787878787878</v>
      </c>
    </row>
    <row r="34" spans="2:24" ht="15" thickBot="1" x14ac:dyDescent="0.25">
      <c r="B34" s="5" t="s">
        <v>64</v>
      </c>
      <c r="C34" s="6">
        <f>+'2001'!E34</f>
        <v>0.98163518412516693</v>
      </c>
      <c r="D34" s="6">
        <f>+'2002'!E34</f>
        <v>0.98695513840279991</v>
      </c>
      <c r="E34" s="6">
        <f>+'2003'!E34</f>
        <v>1.0144041129282453</v>
      </c>
      <c r="F34" s="6">
        <f>+'2004'!E34</f>
        <v>0.98623322039713512</v>
      </c>
      <c r="G34" s="6">
        <f>+'2005'!E34</f>
        <v>0.97500105927714931</v>
      </c>
      <c r="H34" s="6">
        <f>+'2006'!E34</f>
        <v>0.98379275140377742</v>
      </c>
      <c r="I34" s="6">
        <f>+'2007'!E34</f>
        <v>1.0228792094008221</v>
      </c>
      <c r="J34" s="6">
        <f>+'2008'!E34</f>
        <v>0.93041209089920629</v>
      </c>
      <c r="K34" s="6">
        <f>+'2009'!E34</f>
        <v>0.99238222024998146</v>
      </c>
      <c r="L34" s="6">
        <f>+'2010'!E34</f>
        <v>0.96643540948025275</v>
      </c>
      <c r="M34" s="6">
        <f>+'2011'!E34</f>
        <v>0.9869991823385118</v>
      </c>
      <c r="N34" s="6">
        <f>+'2012'!E34</f>
        <v>0.97257192299372697</v>
      </c>
      <c r="O34" s="6">
        <f>+'2013'!E34</f>
        <v>1.0203238977840987</v>
      </c>
      <c r="P34" s="6">
        <f>+'2014'!E34</f>
        <v>0.98383762450667167</v>
      </c>
      <c r="Q34" s="6">
        <f>+'2015'!E34</f>
        <v>1.0186480186480187</v>
      </c>
      <c r="R34" s="6">
        <f>+'2016'!E34</f>
        <v>1.0131082933516107</v>
      </c>
      <c r="S34" s="6">
        <f>+'2017'!E34</f>
        <v>0.99022090282022179</v>
      </c>
      <c r="T34" s="6">
        <f>+'2018'!E34</f>
        <v>0.99621612108412527</v>
      </c>
      <c r="U34" s="6">
        <f>+'2019'!E34</f>
        <v>0.963542562338779</v>
      </c>
      <c r="V34" s="6">
        <f>+'2020'!E34</f>
        <v>0.97362898074641846</v>
      </c>
      <c r="W34" s="6">
        <f>+'2021'!E34</f>
        <v>0.99103956260915782</v>
      </c>
      <c r="X34" s="6">
        <f>+'2022'!F34</f>
        <v>1.1837398373983741</v>
      </c>
    </row>
    <row r="35" spans="2:24" ht="15" thickBot="1" x14ac:dyDescent="0.25">
      <c r="B35" s="5" t="s">
        <v>65</v>
      </c>
      <c r="C35" s="6">
        <f>+'2001'!E35</f>
        <v>1.039983145278337</v>
      </c>
      <c r="D35" s="6">
        <f>+'2002'!E35</f>
        <v>0.99952042551336273</v>
      </c>
      <c r="E35" s="6">
        <f>+'2003'!E35</f>
        <v>1.0478359908883828</v>
      </c>
      <c r="F35" s="6">
        <f>+'2004'!E35</f>
        <v>1.0838527879771156</v>
      </c>
      <c r="G35" s="6">
        <f>+'2005'!E35</f>
        <v>1.0078202173197235</v>
      </c>
      <c r="H35" s="6">
        <f>+'2006'!E35</f>
        <v>0.99920581344557835</v>
      </c>
      <c r="I35" s="6">
        <f>+'2007'!E35</f>
        <v>0.96081943356095378</v>
      </c>
      <c r="J35" s="6">
        <f>+'2008'!E35</f>
        <v>0.94215697742426019</v>
      </c>
      <c r="K35" s="6">
        <f>+'2009'!E35</f>
        <v>0.98240385529945151</v>
      </c>
      <c r="L35" s="6">
        <f>+'2010'!E35</f>
        <v>0.92920788835746582</v>
      </c>
      <c r="M35" s="6">
        <f>+'2011'!E35</f>
        <v>0.94435227429835478</v>
      </c>
      <c r="N35" s="6">
        <f>+'2012'!E35</f>
        <v>0.92874005738568266</v>
      </c>
      <c r="O35" s="6">
        <f>+'2013'!E35</f>
        <v>0.99192761763815551</v>
      </c>
      <c r="P35" s="6">
        <f>+'2014'!E35</f>
        <v>1.029547425004335</v>
      </c>
      <c r="Q35" s="6">
        <f>+'2015'!E35</f>
        <v>1.0458647454228098</v>
      </c>
      <c r="R35" s="6">
        <f>+'2016'!E35</f>
        <v>1.01045848299176</v>
      </c>
      <c r="S35" s="6">
        <f>+'2017'!E35</f>
        <v>0.99868334430546413</v>
      </c>
      <c r="T35" s="6">
        <f>+'2018'!E35</f>
        <v>0.9501527353512913</v>
      </c>
      <c r="U35" s="6">
        <f>+'2019'!E35</f>
        <v>0.99098802789106699</v>
      </c>
      <c r="V35" s="6">
        <f>+'2020'!E35</f>
        <v>0.98460692688290274</v>
      </c>
      <c r="W35" s="6">
        <f>+'2021'!E35</f>
        <v>1.0108093126385809</v>
      </c>
      <c r="X35" s="6">
        <f>+'2022'!F35</f>
        <v>0.92727272727272725</v>
      </c>
    </row>
    <row r="36" spans="2:24" ht="15" thickBot="1" x14ac:dyDescent="0.25">
      <c r="B36" s="5" t="s">
        <v>32</v>
      </c>
      <c r="C36" s="6">
        <f>+'2001'!E36</f>
        <v>1.0029684127737759</v>
      </c>
      <c r="D36" s="6">
        <f>+'2002'!E36</f>
        <v>1.0034712188997719</v>
      </c>
      <c r="E36" s="6">
        <f>+'2003'!E36</f>
        <v>1.0022203546949324</v>
      </c>
      <c r="F36" s="6">
        <f>+'2004'!E36</f>
        <v>1.0128792608976327</v>
      </c>
      <c r="G36" s="6">
        <f>+'2005'!E36</f>
        <v>0.98786834599437134</v>
      </c>
      <c r="H36" s="6">
        <f>+'2006'!E36</f>
        <v>0.98919194058755378</v>
      </c>
      <c r="I36" s="6">
        <f>+'2007'!E36</f>
        <v>0.99083492184521538</v>
      </c>
      <c r="J36" s="6">
        <f>+'2008'!E36</f>
        <v>0.99015660041648124</v>
      </c>
      <c r="K36" s="6">
        <f>+'2009'!E36</f>
        <v>0.99437358150229438</v>
      </c>
      <c r="L36" s="6">
        <f>+'2010'!E36</f>
        <v>1.0013788510840829</v>
      </c>
      <c r="M36" s="6">
        <f>+'2011'!E36</f>
        <v>0.99902828762686247</v>
      </c>
      <c r="N36" s="6">
        <f>+'2012'!E36</f>
        <v>1.0232392402945962</v>
      </c>
      <c r="O36" s="6">
        <f>+'2013'!E36</f>
        <v>1.0213127354506895</v>
      </c>
      <c r="P36" s="6">
        <f>+'2014'!E36</f>
        <v>1.0219806182236808</v>
      </c>
      <c r="Q36" s="6">
        <f>+'2015'!E36</f>
        <v>1.0360626013164087</v>
      </c>
      <c r="R36" s="6">
        <f>+'2016'!E36</f>
        <v>1.0574749489480932</v>
      </c>
      <c r="S36" s="6">
        <f>+'2017'!E36</f>
        <v>1.0333947442491236</v>
      </c>
      <c r="T36" s="6">
        <f>+'2018'!E36</f>
        <v>1.0346109399577927</v>
      </c>
      <c r="U36" s="6">
        <f>+'2019'!E36</f>
        <v>1.0134048942559581</v>
      </c>
      <c r="V36" s="6">
        <f>+'2020'!E36</f>
        <v>0.9994472584927373</v>
      </c>
      <c r="W36" s="6">
        <f>+'2021'!E36</f>
        <v>1.0377104210754566</v>
      </c>
      <c r="X36" s="6">
        <f>+'2022'!F36</f>
        <v>0.87694863276258628</v>
      </c>
    </row>
    <row r="37" spans="2:24" ht="15" thickBot="1" x14ac:dyDescent="0.25">
      <c r="B37" s="5" t="s">
        <v>66</v>
      </c>
      <c r="C37" s="6">
        <f>+'2001'!E37</f>
        <v>0.99884258127198688</v>
      </c>
      <c r="D37" s="6">
        <f>+'2002'!E37</f>
        <v>1.0094288889685583</v>
      </c>
      <c r="E37" s="6">
        <f>+'2003'!E37</f>
        <v>1.0183974839955938</v>
      </c>
      <c r="F37" s="6">
        <f>+'2004'!E37</f>
        <v>1.0102892728479334</v>
      </c>
      <c r="G37" s="6">
        <f>+'2005'!E37</f>
        <v>0.99760106957190797</v>
      </c>
      <c r="H37" s="6">
        <f>+'2006'!E37</f>
        <v>1.0109882207424241</v>
      </c>
      <c r="I37" s="6">
        <f>+'2007'!E37</f>
        <v>1.0141470496143008</v>
      </c>
      <c r="J37" s="6">
        <f>+'2008'!E37</f>
        <v>0.9985959833150575</v>
      </c>
      <c r="K37" s="6">
        <f>+'2009'!E37</f>
        <v>1.0150392448970516</v>
      </c>
      <c r="L37" s="6">
        <f>+'2010'!E37</f>
        <v>1.0026837394953205</v>
      </c>
      <c r="M37" s="6">
        <f>+'2011'!E37</f>
        <v>1.0098784431868839</v>
      </c>
      <c r="N37" s="6">
        <f>+'2012'!E37</f>
        <v>1.0092433782326684</v>
      </c>
      <c r="O37" s="6">
        <f>+'2013'!E37</f>
        <v>1.0100446908476928</v>
      </c>
      <c r="P37" s="6">
        <f>+'2014'!E37</f>
        <v>1.0069982547491239</v>
      </c>
      <c r="Q37" s="6">
        <f>+'2015'!E37</f>
        <v>1.0182960107166934</v>
      </c>
      <c r="R37" s="6">
        <f>+'2016'!E37</f>
        <v>1.0231352472296027</v>
      </c>
      <c r="S37" s="6">
        <f>+'2017'!E37</f>
        <v>1.0198314162593116</v>
      </c>
      <c r="T37" s="6">
        <f>+'2018'!E37</f>
        <v>1.0112835969233429</v>
      </c>
      <c r="U37" s="6">
        <f>+'2019'!E37</f>
        <v>1.0008381081762108</v>
      </c>
      <c r="V37" s="6">
        <f>+'2020'!E37</f>
        <v>0.98486135685678333</v>
      </c>
      <c r="W37" s="6">
        <f>+'2021'!E37</f>
        <v>1.0135455864288454</v>
      </c>
      <c r="X37" s="6">
        <f>+'2022'!F37</f>
        <v>1.3212205270457698</v>
      </c>
    </row>
    <row r="38" spans="2:24" ht="15" thickBot="1" x14ac:dyDescent="0.25">
      <c r="B38" s="5" t="s">
        <v>33</v>
      </c>
      <c r="C38" s="6">
        <f>+'2001'!E38</f>
        <v>0.98654636576160859</v>
      </c>
      <c r="D38" s="6">
        <f>+'2002'!E38</f>
        <v>0.98883452080618783</v>
      </c>
      <c r="E38" s="6">
        <f>+'2003'!E38</f>
        <v>0.99694553875638836</v>
      </c>
      <c r="F38" s="6">
        <f>+'2004'!E38</f>
        <v>0.99068696602727346</v>
      </c>
      <c r="G38" s="6">
        <f>+'2005'!E38</f>
        <v>1.0113111009593421</v>
      </c>
      <c r="H38" s="6">
        <f>+'2006'!E38</f>
        <v>0.97153506149521951</v>
      </c>
      <c r="I38" s="6">
        <f>+'2007'!E38</f>
        <v>1.0100834932214469</v>
      </c>
      <c r="J38" s="6">
        <f>+'2008'!E38</f>
        <v>0.95959865748813211</v>
      </c>
      <c r="K38" s="6">
        <f>+'2009'!E38</f>
        <v>0.99645032190708194</v>
      </c>
      <c r="L38" s="6">
        <f>+'2010'!E38</f>
        <v>0.98090724839180288</v>
      </c>
      <c r="M38" s="6">
        <f>+'2011'!E38</f>
        <v>1.0012543816592545</v>
      </c>
      <c r="N38" s="6">
        <f>+'2012'!E38</f>
        <v>1.0172970773026735</v>
      </c>
      <c r="O38" s="6">
        <f>+'2013'!E38</f>
        <v>1.0055566755056575</v>
      </c>
      <c r="P38" s="6">
        <f>+'2014'!E38</f>
        <v>1.0202663249329538</v>
      </c>
      <c r="Q38" s="6">
        <f>+'2015'!E38</f>
        <v>1.0346980955388954</v>
      </c>
      <c r="R38" s="6">
        <f>+'2016'!E38</f>
        <v>1.0435412101966159</v>
      </c>
      <c r="S38" s="6">
        <f>+'2017'!E38</f>
        <v>0.98807971873271705</v>
      </c>
      <c r="T38" s="6">
        <f>+'2018'!E38</f>
        <v>0.97619238156209986</v>
      </c>
      <c r="U38" s="6">
        <f>+'2019'!E38</f>
        <v>0.98169432524082467</v>
      </c>
      <c r="V38" s="6">
        <f>+'2020'!E38</f>
        <v>0.95729033754784831</v>
      </c>
      <c r="W38" s="6">
        <f>+'2021'!E38</f>
        <v>0.98823274617383772</v>
      </c>
      <c r="X38" s="6">
        <f>+'2022'!F38</f>
        <v>0.96600755387691628</v>
      </c>
    </row>
    <row r="39" spans="2:24" ht="15" thickBot="1" x14ac:dyDescent="0.25">
      <c r="B39" s="5" t="s">
        <v>34</v>
      </c>
      <c r="C39" s="6">
        <f>+'2001'!E39</f>
        <v>0.98121755545068423</v>
      </c>
      <c r="D39" s="6">
        <f>+'2002'!E39</f>
        <v>0.98811193481600212</v>
      </c>
      <c r="E39" s="6">
        <f>+'2003'!E39</f>
        <v>1.009101492221399</v>
      </c>
      <c r="F39" s="6">
        <f>+'2004'!E39</f>
        <v>1.0304410974712004</v>
      </c>
      <c r="G39" s="6">
        <f>+'2005'!E39</f>
        <v>0.99942009629916007</v>
      </c>
      <c r="H39" s="6">
        <f>+'2006'!E39</f>
        <v>0.99405387091309505</v>
      </c>
      <c r="I39" s="6">
        <f>+'2007'!E39</f>
        <v>0.99038400708546848</v>
      </c>
      <c r="J39" s="6">
        <f>+'2008'!E39</f>
        <v>0.99309335406851762</v>
      </c>
      <c r="K39" s="6">
        <f>+'2009'!E39</f>
        <v>1.0018370642528038</v>
      </c>
      <c r="L39" s="6">
        <f>+'2010'!E39</f>
        <v>0.99583541562552058</v>
      </c>
      <c r="M39" s="6">
        <f>+'2011'!E39</f>
        <v>1.0173622704507512</v>
      </c>
      <c r="N39" s="6">
        <f>+'2012'!E39</f>
        <v>1.0295842300614453</v>
      </c>
      <c r="O39" s="6">
        <f>+'2013'!E39</f>
        <v>1.0137267978214961</v>
      </c>
      <c r="P39" s="6">
        <f>+'2014'!E39</f>
        <v>0.99067151747757831</v>
      </c>
      <c r="Q39" s="6">
        <f>+'2015'!E39</f>
        <v>1.0284783204279679</v>
      </c>
      <c r="R39" s="6">
        <f>+'2016'!E39</f>
        <v>1.0226897202879737</v>
      </c>
      <c r="S39" s="6">
        <f>+'2017'!E39</f>
        <v>1.0177668031799567</v>
      </c>
      <c r="T39" s="6">
        <f>+'2018'!E39</f>
        <v>1.0199585357551753</v>
      </c>
      <c r="U39" s="6">
        <f>+'2019'!E39</f>
        <v>0.99358151476251599</v>
      </c>
      <c r="V39" s="6">
        <f>+'2020'!E39</f>
        <v>1.0042344845838296</v>
      </c>
      <c r="W39" s="6">
        <f>+'2021'!E39</f>
        <v>1.0003627130939428</v>
      </c>
      <c r="X39" s="6">
        <f>+'2022'!F39</f>
        <v>1.0259026687598116</v>
      </c>
    </row>
    <row r="40" spans="2:24" ht="15" thickBot="1" x14ac:dyDescent="0.25">
      <c r="B40" s="5" t="s">
        <v>67</v>
      </c>
      <c r="C40" s="6">
        <f>+'2001'!E40</f>
        <v>0.98776695851403318</v>
      </c>
      <c r="D40" s="6">
        <f>+'2002'!E40</f>
        <v>1.0034600699968184</v>
      </c>
      <c r="E40" s="6">
        <f>+'2003'!E40</f>
        <v>0.99368278559073475</v>
      </c>
      <c r="F40" s="6">
        <f>+'2004'!E40</f>
        <v>1.0067140459269313</v>
      </c>
      <c r="G40" s="6">
        <f>+'2005'!E40</f>
        <v>0.99732858414959924</v>
      </c>
      <c r="H40" s="6">
        <f>+'2006'!E40</f>
        <v>0.9557359419988205</v>
      </c>
      <c r="I40" s="6">
        <f>+'2007'!E40</f>
        <v>0.96113998323554062</v>
      </c>
      <c r="J40" s="6">
        <f>+'2008'!E40</f>
        <v>0.98734055509262231</v>
      </c>
      <c r="K40" s="6">
        <f>+'2009'!E40</f>
        <v>0.95732081492390775</v>
      </c>
      <c r="L40" s="6">
        <f>+'2010'!E40</f>
        <v>1.00414230735333</v>
      </c>
      <c r="M40" s="6">
        <f>+'2011'!E40</f>
        <v>1.0176814720397425</v>
      </c>
      <c r="N40" s="6">
        <f>+'2012'!E40</f>
        <v>1.0163037905458523</v>
      </c>
      <c r="O40" s="6">
        <f>+'2013'!E40</f>
        <v>1.0351339771266603</v>
      </c>
      <c r="P40" s="6">
        <f>+'2014'!E40</f>
        <v>1.0247253616994334</v>
      </c>
      <c r="Q40" s="6">
        <f>+'2015'!E40</f>
        <v>1.0464940464940464</v>
      </c>
      <c r="R40" s="6">
        <f>+'2016'!E40</f>
        <v>1.0446859903381642</v>
      </c>
      <c r="S40" s="6">
        <f>+'2017'!E40</f>
        <v>1.0094499966007207</v>
      </c>
      <c r="T40" s="6">
        <f>+'2018'!E40</f>
        <v>0.94712112171837703</v>
      </c>
      <c r="U40" s="6">
        <f>+'2019'!E40</f>
        <v>1.0134535888763623</v>
      </c>
      <c r="V40" s="6">
        <f>+'2020'!E40</f>
        <v>0.97772363383223115</v>
      </c>
      <c r="W40" s="6">
        <f>+'2021'!E40</f>
        <v>1.0456122954883491</v>
      </c>
      <c r="X40" s="6">
        <f>+'2022'!F40</f>
        <v>0.96263079222720482</v>
      </c>
    </row>
    <row r="41" spans="2:24" ht="15" thickBot="1" x14ac:dyDescent="0.25">
      <c r="B41" s="5" t="s">
        <v>31</v>
      </c>
      <c r="C41" s="6">
        <f>+'2001'!E41</f>
        <v>1.0115420300612359</v>
      </c>
      <c r="D41" s="6">
        <f>+'2002'!E41</f>
        <v>1.003716738097727</v>
      </c>
      <c r="E41" s="6">
        <f>+'2003'!E41</f>
        <v>1.0311529611509505</v>
      </c>
      <c r="F41" s="6">
        <f>+'2004'!E41</f>
        <v>1.0346323770352877</v>
      </c>
      <c r="G41" s="6">
        <f>+'2005'!E41</f>
        <v>1.0150522497157399</v>
      </c>
      <c r="H41" s="6">
        <f>+'2006'!E41</f>
        <v>1.0024462748498173</v>
      </c>
      <c r="I41" s="6">
        <f>+'2007'!E41</f>
        <v>1.013375575466561</v>
      </c>
      <c r="J41" s="6">
        <f>+'2008'!E41</f>
        <v>0.97890498574400864</v>
      </c>
      <c r="K41" s="6">
        <f>+'2009'!E41</f>
        <v>1.0140083012155352</v>
      </c>
      <c r="L41" s="6">
        <f>+'2010'!E41</f>
        <v>0.98838741954415565</v>
      </c>
      <c r="M41" s="6">
        <f>+'2011'!E41</f>
        <v>0.99999071727607747</v>
      </c>
      <c r="N41" s="6">
        <f>+'2012'!E41</f>
        <v>1.0086486689304541</v>
      </c>
      <c r="O41" s="6">
        <f>+'2013'!E41</f>
        <v>1.0123078378506221</v>
      </c>
      <c r="P41" s="6">
        <f>+'2014'!E41</f>
        <v>1.0247163939363517</v>
      </c>
      <c r="Q41" s="6">
        <f>+'2015'!E41</f>
        <v>1.0388975010169641</v>
      </c>
      <c r="R41" s="6">
        <f>+'2016'!E41</f>
        <v>1.0519298837013316</v>
      </c>
      <c r="S41" s="6">
        <f>+'2017'!E41</f>
        <v>1.0075688929161559</v>
      </c>
      <c r="T41" s="6">
        <f>+'2018'!E41</f>
        <v>1.0023146862211358</v>
      </c>
      <c r="U41" s="6">
        <f>+'2019'!E41</f>
        <v>0.9815965409490589</v>
      </c>
      <c r="V41" s="6">
        <f>+'2020'!E41</f>
        <v>0.96552492590199002</v>
      </c>
      <c r="W41" s="6">
        <f>+'2021'!E41</f>
        <v>1.0143402515357633</v>
      </c>
      <c r="X41" s="6">
        <f>+'2022'!F41</f>
        <v>1.132991133924405</v>
      </c>
    </row>
    <row r="42" spans="2:24" ht="15" thickBot="1" x14ac:dyDescent="0.25">
      <c r="B42" s="5" t="s">
        <v>68</v>
      </c>
      <c r="C42" s="6">
        <f>+'2001'!E42</f>
        <v>1.0202595758151314</v>
      </c>
      <c r="D42" s="6">
        <f>+'2002'!E42</f>
        <v>0.9940967330784195</v>
      </c>
      <c r="E42" s="6">
        <f>+'2003'!E42</f>
        <v>1.0263048306496392</v>
      </c>
      <c r="F42" s="6">
        <f>+'2004'!E42</f>
        <v>1.0099009900990099</v>
      </c>
      <c r="G42" s="6">
        <f>+'2005'!E42</f>
        <v>0.99851070431275213</v>
      </c>
      <c r="H42" s="6">
        <f>+'2006'!E42</f>
        <v>1.0204595530374567</v>
      </c>
      <c r="I42" s="6">
        <f>+'2007'!E42</f>
        <v>0.96844919786096262</v>
      </c>
      <c r="J42" s="6">
        <f>+'2008'!E42</f>
        <v>0.95534418022528156</v>
      </c>
      <c r="K42" s="6">
        <f>+'2009'!E42</f>
        <v>1.0079178586023703</v>
      </c>
      <c r="L42" s="6">
        <f>+'2010'!E42</f>
        <v>0.98024308507977798</v>
      </c>
      <c r="M42" s="6">
        <f>+'2011'!E42</f>
        <v>0.95958831542303613</v>
      </c>
      <c r="N42" s="6">
        <f>+'2012'!E42</f>
        <v>1.0409663297843592</v>
      </c>
      <c r="O42" s="6">
        <f>+'2013'!E42</f>
        <v>1.0052167156889948</v>
      </c>
      <c r="P42" s="6">
        <f>+'2014'!E42</f>
        <v>0.98725005616715344</v>
      </c>
      <c r="Q42" s="6">
        <f>+'2015'!E42</f>
        <v>0.98273238117536876</v>
      </c>
      <c r="R42" s="6">
        <f>+'2016'!E42</f>
        <v>1.0125173852573017</v>
      </c>
      <c r="S42" s="6">
        <f>+'2017'!E42</f>
        <v>0.99526764118203803</v>
      </c>
      <c r="T42" s="6">
        <f>+'2018'!E42</f>
        <v>0.93975243728776425</v>
      </c>
      <c r="U42" s="6">
        <f>+'2019'!E42</f>
        <v>0.96756102925005494</v>
      </c>
      <c r="V42" s="6">
        <f>+'2020'!E42</f>
        <v>1.0056964600569647</v>
      </c>
      <c r="W42" s="6">
        <f>+'2021'!E42</f>
        <v>0.96683732836862923</v>
      </c>
      <c r="X42" s="6">
        <f>+'2022'!F42</f>
        <v>1.0738007380073802</v>
      </c>
    </row>
    <row r="43" spans="2:24" ht="15" thickBot="1" x14ac:dyDescent="0.25">
      <c r="B43" s="5" t="s">
        <v>69</v>
      </c>
      <c r="C43" s="6">
        <f>+'2001'!E43</f>
        <v>0.99711504331211154</v>
      </c>
      <c r="D43" s="6">
        <f>+'2002'!E43</f>
        <v>1.006065206497067</v>
      </c>
      <c r="E43" s="6">
        <f>+'2003'!E43</f>
        <v>1.0347744150045992</v>
      </c>
      <c r="F43" s="6">
        <f>+'2004'!E43</f>
        <v>1.0516512213722817</v>
      </c>
      <c r="G43" s="6">
        <f>+'2005'!E43</f>
        <v>1.0039583876261648</v>
      </c>
      <c r="H43" s="6">
        <f>+'2006'!E43</f>
        <v>1.0003195760291346</v>
      </c>
      <c r="I43" s="6">
        <f>+'2007'!E43</f>
        <v>1.0011423601420162</v>
      </c>
      <c r="J43" s="6">
        <f>+'2008'!E43</f>
        <v>1.0079853302854027</v>
      </c>
      <c r="K43" s="6">
        <f>+'2009'!E43</f>
        <v>1.0031549274740046</v>
      </c>
      <c r="L43" s="6">
        <f>+'2010'!E43</f>
        <v>1.0014660357888909</v>
      </c>
      <c r="M43" s="6">
        <f>+'2011'!E43</f>
        <v>1.0057160866126162</v>
      </c>
      <c r="N43" s="6">
        <f>+'2012'!E43</f>
        <v>1.0067075907674217</v>
      </c>
      <c r="O43" s="6">
        <f>+'2013'!E43</f>
        <v>1.0174532042648003</v>
      </c>
      <c r="P43" s="6">
        <f>+'2014'!E43</f>
        <v>1.0168516861206847</v>
      </c>
      <c r="Q43" s="6">
        <f>+'2015'!E43</f>
        <v>1.0232645152669206</v>
      </c>
      <c r="R43" s="6">
        <f>+'2016'!E43</f>
        <v>1.0228056310629021</v>
      </c>
      <c r="S43" s="6">
        <f>+'2017'!E43</f>
        <v>1.0178159931212383</v>
      </c>
      <c r="T43" s="6">
        <f>+'2018'!E43</f>
        <v>0.99322438878696084</v>
      </c>
      <c r="U43" s="6">
        <f>+'2019'!E43</f>
        <v>0.99830149707242966</v>
      </c>
      <c r="V43" s="6">
        <f>+'2020'!E43</f>
        <v>0.97001174858037986</v>
      </c>
      <c r="W43" s="6">
        <f>+'2021'!E43</f>
        <v>1.0158679197556086</v>
      </c>
      <c r="X43" s="6">
        <f>+'2022'!F43</f>
        <v>1.071667285555143</v>
      </c>
    </row>
    <row r="44" spans="2:24" ht="15" thickBot="1" x14ac:dyDescent="0.25">
      <c r="B44" s="5" t="s">
        <v>70</v>
      </c>
      <c r="C44" s="6">
        <f>+'2001'!E44</f>
        <v>1.0125537842694405</v>
      </c>
      <c r="D44" s="6">
        <f>+'2002'!E44</f>
        <v>1.0120298512402164</v>
      </c>
      <c r="E44" s="6">
        <f>+'2003'!E44</f>
        <v>1.021462651923015</v>
      </c>
      <c r="F44" s="6">
        <f>+'2004'!E44</f>
        <v>1.0138971956406166</v>
      </c>
      <c r="G44" s="6">
        <f>+'2005'!E44</f>
        <v>1.0094508149307564</v>
      </c>
      <c r="H44" s="6">
        <f>+'2006'!E44</f>
        <v>1.0001954895235388</v>
      </c>
      <c r="I44" s="6">
        <f>+'2007'!E44</f>
        <v>1.0110205625472801</v>
      </c>
      <c r="J44" s="6">
        <f>+'2008'!E44</f>
        <v>1.0171499055134297</v>
      </c>
      <c r="K44" s="6">
        <f>+'2009'!E44</f>
        <v>1.0026156800449131</v>
      </c>
      <c r="L44" s="6">
        <f>+'2010'!E44</f>
        <v>0.99144964868035979</v>
      </c>
      <c r="M44" s="6">
        <f>+'2011'!E44</f>
        <v>1.0089415279556124</v>
      </c>
      <c r="N44" s="6">
        <f>+'2012'!E44</f>
        <v>1.0016429353778751</v>
      </c>
      <c r="O44" s="6">
        <f>+'2013'!E44</f>
        <v>0.99071588893597651</v>
      </c>
      <c r="P44" s="6">
        <f>+'2014'!E44</f>
        <v>1.0138401720714758</v>
      </c>
      <c r="Q44" s="6">
        <f>+'2015'!E44</f>
        <v>1.0315021876519204</v>
      </c>
      <c r="R44" s="6">
        <f>+'2016'!E44</f>
        <v>1.0289772059687463</v>
      </c>
      <c r="S44" s="6">
        <f>+'2017'!E44</f>
        <v>1.0015363900013809</v>
      </c>
      <c r="T44" s="6">
        <f>+'2018'!E44</f>
        <v>0.92931172978585841</v>
      </c>
      <c r="U44" s="6">
        <f>+'2019'!E44</f>
        <v>1.011730946236171</v>
      </c>
      <c r="V44" s="6">
        <f>+'2020'!E44</f>
        <v>0.97974503620130593</v>
      </c>
      <c r="W44" s="6">
        <f>+'2021'!E44</f>
        <v>1.0393642579929772</v>
      </c>
      <c r="X44" s="6">
        <f>+'2022'!F44</f>
        <v>1.115795090715048</v>
      </c>
    </row>
    <row r="45" spans="2:24" ht="15" thickBot="1" x14ac:dyDescent="0.25">
      <c r="B45" s="5" t="s">
        <v>71</v>
      </c>
      <c r="C45" s="6">
        <f>+'2001'!E45</f>
        <v>1.0057079661803003</v>
      </c>
      <c r="D45" s="6">
        <f>+'2002'!E45</f>
        <v>1.0098587610124459</v>
      </c>
      <c r="E45" s="6">
        <f>+'2003'!E45</f>
        <v>0.99966833726415094</v>
      </c>
      <c r="F45" s="6">
        <f>+'2004'!E45</f>
        <v>0.98826901031715708</v>
      </c>
      <c r="G45" s="6">
        <f>+'2005'!E45</f>
        <v>0.99195510429169231</v>
      </c>
      <c r="H45" s="6">
        <f>+'2006'!E45</f>
        <v>1.0163580696894592</v>
      </c>
      <c r="I45" s="6">
        <f>+'2007'!E45</f>
        <v>0.98516312214675428</v>
      </c>
      <c r="J45" s="6">
        <f>+'2008'!E45</f>
        <v>0.98330295461193995</v>
      </c>
      <c r="K45" s="6">
        <f>+'2009'!E45</f>
        <v>1.0342835558913057</v>
      </c>
      <c r="L45" s="6">
        <f>+'2010'!E45</f>
        <v>1.0083717232186704</v>
      </c>
      <c r="M45" s="6">
        <f>+'2011'!E45</f>
        <v>1.0347891066091</v>
      </c>
      <c r="N45" s="6">
        <f>+'2012'!E45</f>
        <v>1.0121798615166431</v>
      </c>
      <c r="O45" s="6">
        <f>+'2013'!E45</f>
        <v>1.0091166578155426</v>
      </c>
      <c r="P45" s="6">
        <f>+'2014'!E45</f>
        <v>1.0138033615945263</v>
      </c>
      <c r="Q45" s="6">
        <f>+'2015'!E45</f>
        <v>1.0432770905950215</v>
      </c>
      <c r="R45" s="6">
        <f>+'2016'!E45</f>
        <v>1.022223705285638</v>
      </c>
      <c r="S45" s="6">
        <f>+'2017'!E45</f>
        <v>0.98827514330380406</v>
      </c>
      <c r="T45" s="6">
        <f>+'2018'!E45</f>
        <v>0.99492055222714249</v>
      </c>
      <c r="U45" s="6">
        <f>+'2019'!E45</f>
        <v>0.9861704970603955</v>
      </c>
      <c r="V45" s="6">
        <f>+'2020'!E45</f>
        <v>0.98029053788771103</v>
      </c>
      <c r="W45" s="6">
        <f>+'2021'!E45</f>
        <v>0.97942132136778581</v>
      </c>
      <c r="X45" s="6">
        <f>+'2022'!F45</f>
        <v>1.085820895522388</v>
      </c>
    </row>
    <row r="46" spans="2:24" ht="15" thickBot="1" x14ac:dyDescent="0.25">
      <c r="B46" s="5" t="s">
        <v>72</v>
      </c>
      <c r="C46" s="6">
        <f>+'2001'!E46</f>
        <v>0.95562094786956631</v>
      </c>
      <c r="D46" s="6">
        <f>+'2002'!E46</f>
        <v>1.0209450013979311</v>
      </c>
      <c r="E46" s="6">
        <f>+'2003'!E46</f>
        <v>1.0123454900309976</v>
      </c>
      <c r="F46" s="6">
        <f>+'2004'!E46</f>
        <v>1.0218131651556956</v>
      </c>
      <c r="G46" s="6">
        <f>+'2005'!E46</f>
        <v>0.98443085606773284</v>
      </c>
      <c r="H46" s="6">
        <f>+'2006'!E46</f>
        <v>0.98062090466722884</v>
      </c>
      <c r="I46" s="6">
        <f>+'2007'!E46</f>
        <v>0.97723967422920299</v>
      </c>
      <c r="J46" s="6">
        <f>+'2008'!E46</f>
        <v>0.98339370016121919</v>
      </c>
      <c r="K46" s="6">
        <f>+'2009'!E46</f>
        <v>1.0157933811784292</v>
      </c>
      <c r="L46" s="6">
        <f>+'2010'!E46</f>
        <v>0.99297545550368915</v>
      </c>
      <c r="M46" s="6">
        <f>+'2011'!E46</f>
        <v>1.0217857436364859</v>
      </c>
      <c r="N46" s="6">
        <f>+'2012'!E46</f>
        <v>1.0147786096411116</v>
      </c>
      <c r="O46" s="6">
        <f>+'2013'!E46</f>
        <v>1.023323076923077</v>
      </c>
      <c r="P46" s="6">
        <f>+'2014'!E46</f>
        <v>1.0191484534523179</v>
      </c>
      <c r="Q46" s="6">
        <f>+'2015'!E46</f>
        <v>1.0376899744828361</v>
      </c>
      <c r="R46" s="6">
        <f>+'2016'!E46</f>
        <v>1.0687081431429633</v>
      </c>
      <c r="S46" s="6">
        <f>+'2017'!E46</f>
        <v>1.0202425117645595</v>
      </c>
      <c r="T46" s="6">
        <f>+'2018'!E46</f>
        <v>1.0045803304566099</v>
      </c>
      <c r="U46" s="6">
        <f>+'2019'!E46</f>
        <v>0.99355939106970115</v>
      </c>
      <c r="V46" s="6">
        <f>+'2020'!E46</f>
        <v>0.95892894602775036</v>
      </c>
      <c r="W46" s="6">
        <f>+'2021'!E46</f>
        <v>0.99477472970343817</v>
      </c>
      <c r="X46" s="6">
        <f>+'2022'!F46</f>
        <v>1.1056641271944352</v>
      </c>
    </row>
    <row r="47" spans="2:24" ht="15" thickBot="1" x14ac:dyDescent="0.25">
      <c r="B47" s="5" t="s">
        <v>5</v>
      </c>
      <c r="C47" s="6">
        <f>+'2001'!E47</f>
        <v>1.0086339985133512</v>
      </c>
      <c r="D47" s="6">
        <f>+'2002'!E47</f>
        <v>1.0205930807248764</v>
      </c>
      <c r="E47" s="6">
        <f>+'2003'!E47</f>
        <v>1.0218137166383763</v>
      </c>
      <c r="F47" s="6">
        <f>+'2004'!E47</f>
        <v>0.98882321145228502</v>
      </c>
      <c r="G47" s="6">
        <f>+'2005'!E47</f>
        <v>0.99789477229857182</v>
      </c>
      <c r="H47" s="6">
        <f>+'2006'!E47</f>
        <v>0.98359038597040638</v>
      </c>
      <c r="I47" s="6">
        <f>+'2007'!E47</f>
        <v>1.0057314369315697</v>
      </c>
      <c r="J47" s="6">
        <f>+'2008'!E47</f>
        <v>0.99789568397527062</v>
      </c>
      <c r="K47" s="6">
        <f>+'2009'!E47</f>
        <v>0.98479187061370244</v>
      </c>
      <c r="L47" s="6">
        <f>+'2010'!E47</f>
        <v>0.99582733429317971</v>
      </c>
      <c r="M47" s="6">
        <f>+'2011'!E47</f>
        <v>0.97026864071816177</v>
      </c>
      <c r="N47" s="6">
        <f>+'2012'!E47</f>
        <v>1.028737091020828</v>
      </c>
      <c r="O47" s="6">
        <f>+'2013'!E47</f>
        <v>1.0279092027895529</v>
      </c>
      <c r="P47" s="6">
        <f>+'2014'!E47</f>
        <v>1.0242686713515281</v>
      </c>
      <c r="Q47" s="6">
        <f>+'2015'!E47</f>
        <v>1.0258498047643552</v>
      </c>
      <c r="R47" s="6">
        <f>+'2016'!E47</f>
        <v>1.0484664564980408</v>
      </c>
      <c r="S47" s="6">
        <f>+'2017'!E47</f>
        <v>1.0014488379112587</v>
      </c>
      <c r="T47" s="6">
        <f>+'2018'!E47</f>
        <v>1.0132229362333169</v>
      </c>
      <c r="U47" s="6">
        <f>+'2019'!E47</f>
        <v>1.0099918561673871</v>
      </c>
      <c r="V47" s="6">
        <f>+'2020'!E47</f>
        <v>0.99031439772465213</v>
      </c>
      <c r="W47" s="6">
        <f>+'2021'!E47</f>
        <v>1.0041338712877836</v>
      </c>
      <c r="X47" s="6">
        <f>+'2022'!F47</f>
        <v>1.12549642573471</v>
      </c>
    </row>
    <row r="48" spans="2:24" ht="15" thickBot="1" x14ac:dyDescent="0.25">
      <c r="B48" s="5" t="s">
        <v>73</v>
      </c>
      <c r="C48" s="6">
        <f>+'2001'!E48</f>
        <v>0.99392011972687311</v>
      </c>
      <c r="D48" s="6">
        <f>+'2002'!E48</f>
        <v>0.99291958041958039</v>
      </c>
      <c r="E48" s="6">
        <f>+'2003'!E48</f>
        <v>0.96833861023162804</v>
      </c>
      <c r="F48" s="6">
        <f>+'2004'!E48</f>
        <v>0.97483675744545306</v>
      </c>
      <c r="G48" s="6">
        <f>+'2005'!E48</f>
        <v>0.98847401476982544</v>
      </c>
      <c r="H48" s="6">
        <f>+'2006'!E48</f>
        <v>0.97721026878477113</v>
      </c>
      <c r="I48" s="6">
        <f>+'2007'!E48</f>
        <v>0.95365418894830656</v>
      </c>
      <c r="J48" s="6">
        <f>+'2008'!E48</f>
        <v>0.8994705619697646</v>
      </c>
      <c r="K48" s="6">
        <f>+'2009'!E48</f>
        <v>0.99599138446811053</v>
      </c>
      <c r="L48" s="6">
        <f>+'2010'!E48</f>
        <v>0.94743444988081793</v>
      </c>
      <c r="M48" s="6">
        <f>+'2011'!E48</f>
        <v>0.97216920140385443</v>
      </c>
      <c r="N48" s="6">
        <f>+'2012'!E48</f>
        <v>0.96597996597996594</v>
      </c>
      <c r="O48" s="6">
        <f>+'2013'!E48</f>
        <v>1.0018514844938173</v>
      </c>
      <c r="P48" s="6">
        <f>+'2014'!E48</f>
        <v>1.028231484088989</v>
      </c>
      <c r="Q48" s="6">
        <f>+'2015'!E48</f>
        <v>1.0105621569036203</v>
      </c>
      <c r="R48" s="6">
        <f>+'2016'!E48</f>
        <v>1.0541831740852947</v>
      </c>
      <c r="S48" s="6">
        <f>+'2017'!E48</f>
        <v>1.0448857766042934</v>
      </c>
      <c r="T48" s="6">
        <f>+'2018'!E48</f>
        <v>1.0488107036669971</v>
      </c>
      <c r="U48" s="6">
        <f>+'2019'!E48</f>
        <v>0.98809523809523814</v>
      </c>
      <c r="V48" s="6">
        <f>+'2020'!E48</f>
        <v>0.97576547231270361</v>
      </c>
      <c r="W48" s="6">
        <f>+'2021'!E48</f>
        <v>0.98541716471431984</v>
      </c>
      <c r="X48" s="6">
        <f>+'2022'!F48</f>
        <v>1.0170068027210883</v>
      </c>
    </row>
    <row r="49" spans="2:24" ht="15" thickBot="1" x14ac:dyDescent="0.25">
      <c r="B49" s="5" t="s">
        <v>74</v>
      </c>
      <c r="C49" s="6">
        <f>+'2001'!E49</f>
        <v>1.0100075784903251</v>
      </c>
      <c r="D49" s="6">
        <f>+'2002'!E49</f>
        <v>1.0068378213070275</v>
      </c>
      <c r="E49" s="6">
        <f>+'2003'!E49</f>
        <v>1.0178126901587652</v>
      </c>
      <c r="F49" s="6">
        <f>+'2004'!E49</f>
        <v>1.0149809151749019</v>
      </c>
      <c r="G49" s="6">
        <f>+'2005'!E49</f>
        <v>1.006446824660538</v>
      </c>
      <c r="H49" s="6">
        <f>+'2006'!E49</f>
        <v>0.99288932945890873</v>
      </c>
      <c r="I49" s="6">
        <f>+'2007'!E49</f>
        <v>0.99925134741603827</v>
      </c>
      <c r="J49" s="6">
        <f>+'2008'!E49</f>
        <v>1.0035940667232968</v>
      </c>
      <c r="K49" s="6">
        <f>+'2009'!E49</f>
        <v>1.0022370671491956</v>
      </c>
      <c r="L49" s="6">
        <f>+'2010'!E49</f>
        <v>0.99518052304686777</v>
      </c>
      <c r="M49" s="6">
        <f>+'2011'!E49</f>
        <v>0.99141303668520719</v>
      </c>
      <c r="N49" s="6">
        <f>+'2012'!E49</f>
        <v>1.0175698367142483</v>
      </c>
      <c r="O49" s="6">
        <f>+'2013'!E49</f>
        <v>1.0149155368643041</v>
      </c>
      <c r="P49" s="6">
        <f>+'2014'!E49</f>
        <v>1.0203594331406856</v>
      </c>
      <c r="Q49" s="6">
        <f>+'2015'!E49</f>
        <v>1.0395977237750975</v>
      </c>
      <c r="R49" s="6">
        <f>+'2016'!E49</f>
        <v>1.0664248440047404</v>
      </c>
      <c r="S49" s="6">
        <f>+'2017'!E49</f>
        <v>1.0246083609968613</v>
      </c>
      <c r="T49" s="6">
        <f>+'2018'!E49</f>
        <v>1.0198651116216058</v>
      </c>
      <c r="U49" s="6">
        <f>+'2019'!E49</f>
        <v>1.0157029536858526</v>
      </c>
      <c r="V49" s="6">
        <f>+'2020'!E49</f>
        <v>0.98894149504259421</v>
      </c>
      <c r="W49" s="6">
        <f>+'2021'!E49</f>
        <v>1.0282214121979631</v>
      </c>
      <c r="X49" s="6">
        <f>+'2022'!F49</f>
        <v>1.0714148956538387</v>
      </c>
    </row>
    <row r="50" spans="2:24" ht="15" thickBot="1" x14ac:dyDescent="0.25">
      <c r="B50" s="5" t="s">
        <v>75</v>
      </c>
      <c r="C50" s="6">
        <f>+'2001'!E50</f>
        <v>0.962189838519102</v>
      </c>
      <c r="D50" s="6">
        <f>+'2002'!E50</f>
        <v>0.99973311982919666</v>
      </c>
      <c r="E50" s="6">
        <f>+'2003'!E50</f>
        <v>1.0190434012400353</v>
      </c>
      <c r="F50" s="6">
        <f>+'2004'!E50</f>
        <v>1.0228466013906627</v>
      </c>
      <c r="G50" s="6">
        <f>+'2005'!E50</f>
        <v>1.026006464883926</v>
      </c>
      <c r="H50" s="6">
        <f>+'2006'!E50</f>
        <v>1.0199077125906395</v>
      </c>
      <c r="I50" s="6">
        <f>+'2007'!E50</f>
        <v>1.0060951886914797</v>
      </c>
      <c r="J50" s="6">
        <f>+'2008'!E50</f>
        <v>0.960717749757517</v>
      </c>
      <c r="K50" s="6">
        <f>+'2009'!E50</f>
        <v>0.94264168190127973</v>
      </c>
      <c r="L50" s="6">
        <f>+'2010'!E50</f>
        <v>0.94979486072122654</v>
      </c>
      <c r="M50" s="6">
        <f>+'2011'!E50</f>
        <v>0.95794839120739084</v>
      </c>
      <c r="N50" s="6">
        <f>+'2012'!E50</f>
        <v>0.99636363636363634</v>
      </c>
      <c r="O50" s="6">
        <f>+'2013'!E50</f>
        <v>1.0001299883010528</v>
      </c>
      <c r="P50" s="6">
        <f>+'2014'!E50</f>
        <v>0.99336374948154293</v>
      </c>
      <c r="Q50" s="6">
        <f>+'2015'!E50</f>
        <v>1.0332859174964437</v>
      </c>
      <c r="R50" s="6">
        <f>+'2016'!E50</f>
        <v>0.98903508771929827</v>
      </c>
      <c r="S50" s="6">
        <f>+'2017'!E50</f>
        <v>0.93092719352831366</v>
      </c>
      <c r="T50" s="6">
        <f>+'2018'!E50</f>
        <v>1.0167884653367569</v>
      </c>
      <c r="U50" s="6">
        <f>+'2019'!E50</f>
        <v>0.97315966054864811</v>
      </c>
      <c r="V50" s="6">
        <f>+'2020'!E50</f>
        <v>0.94027107741787275</v>
      </c>
      <c r="W50" s="6">
        <f>+'2021'!E50</f>
        <v>1.0109233305853256</v>
      </c>
      <c r="X50" s="6">
        <f>+'2022'!F50</f>
        <v>1.2269503546099292</v>
      </c>
    </row>
    <row r="51" spans="2:24" ht="15" thickBot="1" x14ac:dyDescent="0.25">
      <c r="B51" s="5" t="s">
        <v>76</v>
      </c>
      <c r="C51" s="6">
        <f>+'2001'!E51</f>
        <v>1.0010976033344912</v>
      </c>
      <c r="D51" s="6">
        <f>+'2002'!E51</f>
        <v>0.9734527398474907</v>
      </c>
      <c r="E51" s="6">
        <f>+'2003'!E51</f>
        <v>1.005576529451899</v>
      </c>
      <c r="F51" s="6">
        <f>+'2004'!E51</f>
        <v>1.0229693198105847</v>
      </c>
      <c r="G51" s="6">
        <f>+'2005'!E51</f>
        <v>0.98851599654128841</v>
      </c>
      <c r="H51" s="6">
        <f>+'2006'!E51</f>
        <v>0.98261811338174454</v>
      </c>
      <c r="I51" s="6">
        <f>+'2007'!E51</f>
        <v>0.99386471569759982</v>
      </c>
      <c r="J51" s="6">
        <f>+'2008'!E51</f>
        <v>1.0034157954663079</v>
      </c>
      <c r="K51" s="6">
        <f>+'2009'!E51</f>
        <v>1.0102476042762976</v>
      </c>
      <c r="L51" s="6">
        <f>+'2010'!E51</f>
        <v>0.99814893284863626</v>
      </c>
      <c r="M51" s="6">
        <f>+'2011'!E51</f>
        <v>1.0238947957470621</v>
      </c>
      <c r="N51" s="6">
        <f>+'2012'!E51</f>
        <v>1.0288710662244005</v>
      </c>
      <c r="O51" s="6">
        <f>+'2013'!E51</f>
        <v>1.0390123287200796</v>
      </c>
      <c r="P51" s="6">
        <f>+'2014'!E51</f>
        <v>1.0251882442992684</v>
      </c>
      <c r="Q51" s="6">
        <f>+'2015'!E51</f>
        <v>1.0404563329977012</v>
      </c>
      <c r="R51" s="6">
        <f>+'2016'!E51</f>
        <v>1.0382668424565002</v>
      </c>
      <c r="S51" s="6">
        <f>+'2017'!E51</f>
        <v>1.0189538218735299</v>
      </c>
      <c r="T51" s="6">
        <f>+'2018'!E51</f>
        <v>1.0154187380497133</v>
      </c>
      <c r="U51" s="6">
        <f>+'2019'!E51</f>
        <v>1.0038569159797324</v>
      </c>
      <c r="V51" s="6">
        <f>+'2020'!E51</f>
        <v>0.95827605860461995</v>
      </c>
      <c r="W51" s="6">
        <f>+'2021'!E51</f>
        <v>1.0115802206880273</v>
      </c>
      <c r="X51" s="6">
        <f>+'2022'!F51</f>
        <v>1.0902413431269675</v>
      </c>
    </row>
    <row r="52" spans="2:24" ht="15" thickBot="1" x14ac:dyDescent="0.25">
      <c r="B52" s="5" t="s">
        <v>77</v>
      </c>
      <c r="C52" s="6">
        <f>+'2001'!E52</f>
        <v>0.98643457382953181</v>
      </c>
      <c r="D52" s="6">
        <f>+'2002'!E52</f>
        <v>1.0468381311939594</v>
      </c>
      <c r="E52" s="6">
        <f>+'2003'!E52</f>
        <v>1.0065270601033451</v>
      </c>
      <c r="F52" s="6">
        <f>+'2004'!E52</f>
        <v>1.0372025606957362</v>
      </c>
      <c r="G52" s="6">
        <f>+'2005'!E52</f>
        <v>0.98438719750195158</v>
      </c>
      <c r="H52" s="6">
        <f>+'2006'!E52</f>
        <v>0.95319054979024065</v>
      </c>
      <c r="I52" s="6">
        <f>+'2007'!E52</f>
        <v>0.95609220636663006</v>
      </c>
      <c r="J52" s="6">
        <f>+'2008'!E52</f>
        <v>1.018370774721814</v>
      </c>
      <c r="K52" s="6">
        <f>+'2009'!E52</f>
        <v>0.94655905769440507</v>
      </c>
      <c r="L52" s="6">
        <f>+'2010'!E52</f>
        <v>0.93533106786118836</v>
      </c>
      <c r="M52" s="6">
        <f>+'2011'!E52</f>
        <v>0.97622192866578594</v>
      </c>
      <c r="N52" s="6">
        <f>+'2012'!E52</f>
        <v>1.0159834728715886</v>
      </c>
      <c r="O52" s="6">
        <f>+'2013'!E52</f>
        <v>0.99881235154394299</v>
      </c>
      <c r="P52" s="6">
        <f>+'2014'!E52</f>
        <v>1.0155005382131324</v>
      </c>
      <c r="Q52" s="6">
        <f>+'2015'!E52</f>
        <v>1.0491629332704551</v>
      </c>
      <c r="R52" s="6">
        <f>+'2016'!E52</f>
        <v>1.0280144167758847</v>
      </c>
      <c r="S52" s="6">
        <f>+'2017'!E52</f>
        <v>0.99967159277504103</v>
      </c>
      <c r="T52" s="6">
        <f>+'2018'!E52</f>
        <v>0.99239974126778785</v>
      </c>
      <c r="U52" s="6">
        <f>+'2019'!E52</f>
        <v>0.99614705410178195</v>
      </c>
      <c r="V52" s="6">
        <f>+'2020'!E52</f>
        <v>0.99750384024577576</v>
      </c>
      <c r="W52" s="6">
        <f>+'2021'!E52</f>
        <v>1.003151434732128</v>
      </c>
      <c r="X52" s="6">
        <f>+'2022'!F52</f>
        <v>1.0815217391304348</v>
      </c>
    </row>
    <row r="53" spans="2:24" ht="15" thickBot="1" x14ac:dyDescent="0.25">
      <c r="B53" s="5" t="s">
        <v>78</v>
      </c>
      <c r="C53" s="6">
        <f>+'2001'!E53</f>
        <v>1.0139738908880775</v>
      </c>
      <c r="D53" s="6">
        <f>+'2002'!E53</f>
        <v>0.99426820832098028</v>
      </c>
      <c r="E53" s="6">
        <f>+'2003'!E53</f>
        <v>1.0403815358908306</v>
      </c>
      <c r="F53" s="6">
        <f>+'2004'!E53</f>
        <v>1.0181568618007562</v>
      </c>
      <c r="G53" s="6">
        <f>+'2005'!E53</f>
        <v>0.97118647596444108</v>
      </c>
      <c r="H53" s="6">
        <f>+'2006'!E53</f>
        <v>0.93223170184104176</v>
      </c>
      <c r="I53" s="6">
        <f>+'2007'!E53</f>
        <v>0.99738405834762578</v>
      </c>
      <c r="J53" s="6">
        <f>+'2008'!E53</f>
        <v>0.95606857285087588</v>
      </c>
      <c r="K53" s="6">
        <f>+'2009'!E53</f>
        <v>0.92267027643203192</v>
      </c>
      <c r="L53" s="6">
        <f>+'2010'!E53</f>
        <v>0.96025493493847924</v>
      </c>
      <c r="M53" s="6">
        <f>+'2011'!E53</f>
        <v>0.95407644642484157</v>
      </c>
      <c r="N53" s="6">
        <f>+'2012'!E53</f>
        <v>0.97719043247654014</v>
      </c>
      <c r="O53" s="6">
        <f>+'2013'!E53</f>
        <v>0.988849765258216</v>
      </c>
      <c r="P53" s="6">
        <f>+'2014'!E53</f>
        <v>1.0036414972358925</v>
      </c>
      <c r="Q53" s="6">
        <f>+'2015'!E53</f>
        <v>1.0288716128668807</v>
      </c>
      <c r="R53" s="6">
        <f>+'2016'!E53</f>
        <v>1.0180469912821604</v>
      </c>
      <c r="S53" s="6">
        <f>+'2017'!E53</f>
        <v>0.9903451885887109</v>
      </c>
      <c r="T53" s="6">
        <f>+'2018'!E53</f>
        <v>1.0027912656645248</v>
      </c>
      <c r="U53" s="6">
        <f>+'2019'!E53</f>
        <v>0.94617337900082676</v>
      </c>
      <c r="V53" s="6">
        <f>+'2020'!E53</f>
        <v>0.9260959914197614</v>
      </c>
      <c r="W53" s="6">
        <f>+'2021'!E53</f>
        <v>0.95951114842802498</v>
      </c>
      <c r="X53" s="6">
        <f>+'2022'!F53</f>
        <v>0.94602479941648432</v>
      </c>
    </row>
    <row r="54" spans="2:24" ht="15" thickBot="1" x14ac:dyDescent="0.25">
      <c r="B54" s="5" t="s">
        <v>79</v>
      </c>
      <c r="C54" s="6">
        <f>+'2001'!E54</f>
        <v>0.98638598368025132</v>
      </c>
      <c r="D54" s="6">
        <f>+'2002'!E54</f>
        <v>0.97834922977883243</v>
      </c>
      <c r="E54" s="6">
        <f>+'2003'!E54</f>
        <v>0.99702352856246423</v>
      </c>
      <c r="F54" s="6">
        <f>+'2004'!E54</f>
        <v>1.0032043204320431</v>
      </c>
      <c r="G54" s="6">
        <f>+'2005'!E54</f>
        <v>0.99323384780952484</v>
      </c>
      <c r="H54" s="6">
        <f>+'2006'!E54</f>
        <v>0.97183011038991318</v>
      </c>
      <c r="I54" s="6">
        <f>+'2007'!E54</f>
        <v>0.97516461738964899</v>
      </c>
      <c r="J54" s="6">
        <f>+'2008'!E54</f>
        <v>0.9850440708021907</v>
      </c>
      <c r="K54" s="6">
        <f>+'2009'!E54</f>
        <v>0.97713124841686727</v>
      </c>
      <c r="L54" s="6">
        <f>+'2010'!E54</f>
        <v>1.0037332920672379</v>
      </c>
      <c r="M54" s="6">
        <f>+'2011'!E54</f>
        <v>0.99632005104622767</v>
      </c>
      <c r="N54" s="6">
        <f>+'2012'!E54</f>
        <v>0.99172274845046382</v>
      </c>
      <c r="O54" s="6">
        <f>+'2013'!E54</f>
        <v>0.99874937687484144</v>
      </c>
      <c r="P54" s="6">
        <f>+'2014'!E54</f>
        <v>1.0027153657757428</v>
      </c>
      <c r="Q54" s="6">
        <f>+'2015'!E54</f>
        <v>1.0276595676138871</v>
      </c>
      <c r="R54" s="6">
        <f>+'2016'!E54</f>
        <v>1.0387444854438999</v>
      </c>
      <c r="S54" s="6">
        <f>+'2017'!E54</f>
        <v>1.0093053909594409</v>
      </c>
      <c r="T54" s="6">
        <f>+'2018'!E54</f>
        <v>1.016550605742631</v>
      </c>
      <c r="U54" s="6">
        <f>+'2019'!E54</f>
        <v>0.99287147026676437</v>
      </c>
      <c r="V54" s="6">
        <f>+'2020'!E54</f>
        <v>0.96940863094012164</v>
      </c>
      <c r="W54" s="6">
        <f>+'2021'!E54</f>
        <v>1.0091360853926801</v>
      </c>
      <c r="X54" s="6">
        <f>+'2022'!F54</f>
        <v>1.0223880597014925</v>
      </c>
    </row>
    <row r="55" spans="2:24" ht="15" thickBot="1" x14ac:dyDescent="0.25">
      <c r="B55" s="5" t="s">
        <v>80</v>
      </c>
      <c r="C55" s="6">
        <f>+'2001'!E55</f>
        <v>1.0245884314600409</v>
      </c>
      <c r="D55" s="6">
        <f>+'2002'!E55</f>
        <v>1.0136525795828759</v>
      </c>
      <c r="E55" s="6">
        <f>+'2003'!E55</f>
        <v>0.99791383219954644</v>
      </c>
      <c r="F55" s="6">
        <f>+'2004'!E55</f>
        <v>1.0016304114643668</v>
      </c>
      <c r="G55" s="6">
        <f>+'2005'!E55</f>
        <v>0.99077517309391239</v>
      </c>
      <c r="H55" s="6">
        <f>+'2006'!E55</f>
        <v>1.022618642881427</v>
      </c>
      <c r="I55" s="6">
        <f>+'2007'!E55</f>
        <v>0.99386826167099274</v>
      </c>
      <c r="J55" s="6">
        <f>+'2008'!E55</f>
        <v>0.95965739821251239</v>
      </c>
      <c r="K55" s="6">
        <f>+'2009'!E55</f>
        <v>1.0176501650165017</v>
      </c>
      <c r="L55" s="6">
        <f>+'2010'!E55</f>
        <v>1.002724932294627</v>
      </c>
      <c r="M55" s="6">
        <f>+'2011'!E55</f>
        <v>1.0235018709332546</v>
      </c>
      <c r="N55" s="6">
        <f>+'2012'!E55</f>
        <v>1.0289362634953692</v>
      </c>
      <c r="O55" s="6">
        <f>+'2013'!E55</f>
        <v>1.0519353529390059</v>
      </c>
      <c r="P55" s="6">
        <f>+'2014'!E55</f>
        <v>1.037782404194618</v>
      </c>
      <c r="Q55" s="6">
        <f>+'2015'!E55</f>
        <v>1.0529884176116873</v>
      </c>
      <c r="R55" s="6">
        <f>+'2016'!E55</f>
        <v>1.0461526763990268</v>
      </c>
      <c r="S55" s="6">
        <f>+'2017'!E55</f>
        <v>1.018340538045075</v>
      </c>
      <c r="T55" s="6">
        <f>+'2018'!E55</f>
        <v>1.0201432220779765</v>
      </c>
      <c r="U55" s="6">
        <f>+'2019'!E55</f>
        <v>1.0200544274649361</v>
      </c>
      <c r="V55" s="6">
        <f>+'2020'!E55</f>
        <v>0.97644734842729064</v>
      </c>
      <c r="W55" s="6">
        <f>+'2021'!E55</f>
        <v>1.0451534698471796</v>
      </c>
      <c r="X55" s="6">
        <f>+'2022'!F55</f>
        <v>0.99335548172757471</v>
      </c>
    </row>
    <row r="56" spans="2:24" ht="15" thickBot="1" x14ac:dyDescent="0.25">
      <c r="B56" s="5" t="s">
        <v>81</v>
      </c>
      <c r="C56" s="6">
        <f>+'2001'!E56</f>
        <v>1.0032157532207158</v>
      </c>
      <c r="D56" s="6">
        <f>+'2002'!E56</f>
        <v>1.0325457449060089</v>
      </c>
      <c r="E56" s="6">
        <f>+'2003'!E56</f>
        <v>1.0279612750503282</v>
      </c>
      <c r="F56" s="6">
        <f>+'2004'!E56</f>
        <v>1.0195237849284644</v>
      </c>
      <c r="G56" s="6">
        <f>+'2005'!E56</f>
        <v>1.0126782077393075</v>
      </c>
      <c r="H56" s="6">
        <f>+'2006'!E56</f>
        <v>0.98287875771451327</v>
      </c>
      <c r="I56" s="6">
        <f>+'2007'!E56</f>
        <v>1.0055145559814074</v>
      </c>
      <c r="J56" s="6">
        <f>+'2008'!E56</f>
        <v>0.99606572332721965</v>
      </c>
      <c r="K56" s="6">
        <f>+'2009'!E56</f>
        <v>1.0083568563363541</v>
      </c>
      <c r="L56" s="6">
        <f>+'2010'!E56</f>
        <v>1.0146770845572397</v>
      </c>
      <c r="M56" s="6">
        <f>+'2011'!E56</f>
        <v>0.99563044949635704</v>
      </c>
      <c r="N56" s="6">
        <f>+'2012'!E56</f>
        <v>1.0221580334987592</v>
      </c>
      <c r="O56" s="6">
        <f>+'2013'!E56</f>
        <v>1.0155232849273912</v>
      </c>
      <c r="P56" s="6">
        <f>+'2014'!E56</f>
        <v>1.0196107436444708</v>
      </c>
      <c r="Q56" s="6">
        <f>+'2015'!E56</f>
        <v>1.0435314145995909</v>
      </c>
      <c r="R56" s="6">
        <f>+'2016'!E56</f>
        <v>1.0499203875221457</v>
      </c>
      <c r="S56" s="6">
        <f>+'2017'!E56</f>
        <v>1.0314862908230102</v>
      </c>
      <c r="T56" s="6">
        <f>+'2018'!E56</f>
        <v>0.99566497068151227</v>
      </c>
      <c r="U56" s="6">
        <f>+'2019'!E56</f>
        <v>1.0034268675315428</v>
      </c>
      <c r="V56" s="6">
        <f>+'2020'!E56</f>
        <v>0.96187735110707162</v>
      </c>
      <c r="W56" s="6">
        <f>+'2021'!E56</f>
        <v>1.03681720813995</v>
      </c>
      <c r="X56" s="6">
        <f>+'2022'!F56</f>
        <v>1.009453781512605</v>
      </c>
    </row>
    <row r="57" spans="2:24" ht="15" thickBot="1" x14ac:dyDescent="0.25">
      <c r="B57" s="5" t="s">
        <v>82</v>
      </c>
      <c r="C57" s="6">
        <f>+'2001'!E57</f>
        <v>0.99200358717584636</v>
      </c>
      <c r="D57" s="6">
        <f>+'2002'!E57</f>
        <v>1.0480642917857972</v>
      </c>
      <c r="E57" s="6">
        <f>+'2003'!E57</f>
        <v>1.0026269702276707</v>
      </c>
      <c r="F57" s="6">
        <f>+'2004'!E57</f>
        <v>0.99483622350674372</v>
      </c>
      <c r="G57" s="6">
        <f>+'2005'!E57</f>
        <v>1.0513575160032373</v>
      </c>
      <c r="H57" s="6">
        <f>+'2006'!E57</f>
        <v>0.9693831942789034</v>
      </c>
      <c r="I57" s="6">
        <f>+'2007'!E57</f>
        <v>0.96263395375070504</v>
      </c>
      <c r="J57" s="6">
        <f>+'2008'!E57</f>
        <v>1.0213206790536025</v>
      </c>
      <c r="K57" s="6">
        <f>+'2009'!E57</f>
        <v>0.9907803949559838</v>
      </c>
      <c r="L57" s="6">
        <f>+'2010'!E57</f>
        <v>0.98526008652781971</v>
      </c>
      <c r="M57" s="6">
        <f>+'2011'!E57</f>
        <v>0.9804735775371991</v>
      </c>
      <c r="N57" s="6">
        <f>+'2012'!E57</f>
        <v>1.0077844311377246</v>
      </c>
      <c r="O57" s="6">
        <f>+'2013'!E57</f>
        <v>1.0478199718706047</v>
      </c>
      <c r="P57" s="6">
        <f>+'2014'!E57</f>
        <v>1.0068455134135059</v>
      </c>
      <c r="Q57" s="6">
        <f>+'2015'!E57</f>
        <v>1.0336279657074501</v>
      </c>
      <c r="R57" s="6">
        <f>+'2016'!E57</f>
        <v>0.99151553717255281</v>
      </c>
      <c r="S57" s="6">
        <f>+'2017'!E57</f>
        <v>0.99748606405071594</v>
      </c>
      <c r="T57" s="6">
        <f>+'2018'!E57</f>
        <v>0.98716542343132951</v>
      </c>
      <c r="U57" s="6">
        <f>+'2019'!E57</f>
        <v>0.96936814739459709</v>
      </c>
      <c r="V57" s="6">
        <f>+'2020'!E57</f>
        <v>0.91134475597092424</v>
      </c>
      <c r="W57" s="6">
        <f>+'2021'!E57</f>
        <v>0.98414003759398494</v>
      </c>
      <c r="X57" s="6">
        <f>+'2022'!F57</f>
        <v>1.0155763239875388</v>
      </c>
    </row>
    <row r="58" spans="2:24" ht="15" thickBot="1" x14ac:dyDescent="0.25">
      <c r="B58" s="5" t="s">
        <v>83</v>
      </c>
      <c r="C58" s="6">
        <f>+'2001'!E58</f>
        <v>0.99802944244812797</v>
      </c>
      <c r="D58" s="6">
        <f>+'2002'!E58</f>
        <v>1.007961396484488</v>
      </c>
      <c r="E58" s="6">
        <f>+'2003'!E58</f>
        <v>1.0354790366988464</v>
      </c>
      <c r="F58" s="6">
        <f>+'2004'!E58</f>
        <v>1.0219990435198469</v>
      </c>
      <c r="G58" s="6">
        <f>+'2005'!E58</f>
        <v>1.0080854129259087</v>
      </c>
      <c r="H58" s="6">
        <f>+'2006'!E58</f>
        <v>1.0168471495558904</v>
      </c>
      <c r="I58" s="6">
        <f>+'2007'!E58</f>
        <v>0.99786795764770009</v>
      </c>
      <c r="J58" s="6">
        <f>+'2008'!E58</f>
        <v>1.0094989937824768</v>
      </c>
      <c r="K58" s="6">
        <f>+'2009'!E58</f>
        <v>1.0158094690319066</v>
      </c>
      <c r="L58" s="6">
        <f>+'2010'!E58</f>
        <v>1.0080743214316294</v>
      </c>
      <c r="M58" s="6">
        <f>+'2011'!E58</f>
        <v>1.0060436002590114</v>
      </c>
      <c r="N58" s="6">
        <f>+'2012'!E58</f>
        <v>1.0098403180481019</v>
      </c>
      <c r="O58" s="6">
        <f>+'2013'!E58</f>
        <v>1.0084175084175084</v>
      </c>
      <c r="P58" s="6">
        <f>+'2014'!E58</f>
        <v>1.0113500183224553</v>
      </c>
      <c r="Q58" s="6">
        <f>+'2015'!E58</f>
        <v>1.0318232832314163</v>
      </c>
      <c r="R58" s="6">
        <f>+'2016'!E58</f>
        <v>1.0181943186772646</v>
      </c>
      <c r="S58" s="6">
        <f>+'2017'!E58</f>
        <v>0.99948773877982677</v>
      </c>
      <c r="T58" s="6">
        <f>+'2018'!E58</f>
        <v>1.0097371793804824</v>
      </c>
      <c r="U58" s="6">
        <f>+'2019'!E58</f>
        <v>1.0178055675044553</v>
      </c>
      <c r="V58" s="6">
        <f>+'2020'!E58</f>
        <v>1.00508618253744</v>
      </c>
      <c r="W58" s="6">
        <f>+'2021'!E58</f>
        <v>1.0228785284304553</v>
      </c>
      <c r="X58" s="6">
        <f>+'2022'!F58</f>
        <v>1.1193390452876377</v>
      </c>
    </row>
  </sheetData>
  <pageMargins left="0.75" right="0.75" top="1" bottom="1" header="0" footer="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C12D7-41DF-47FB-BCC6-BABF1A76BA9B}">
  <dimension ref="B7:X58"/>
  <sheetViews>
    <sheetView workbookViewId="0">
      <selection activeCell="A2" sqref="A2"/>
    </sheetView>
  </sheetViews>
  <sheetFormatPr baseColWidth="10" defaultColWidth="10.710937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24" width="7" style="1" bestFit="1" customWidth="1"/>
    <col min="25" max="16384" width="10.7109375" style="1"/>
  </cols>
  <sheetData>
    <row r="7" spans="2:24" ht="13.5" thickBot="1" x14ac:dyDescent="0.25"/>
    <row r="8" spans="2:24" ht="20.100000000000001" customHeight="1" thickBot="1" x14ac:dyDescent="0.25"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</row>
    <row r="9" spans="2:24" s="7" customFormat="1" ht="20.100000000000001" customHeight="1" thickBot="1" x14ac:dyDescent="0.25">
      <c r="B9" s="5" t="s">
        <v>39</v>
      </c>
      <c r="C9" s="6">
        <f>+'2001'!F9</f>
        <v>0.96979865771812079</v>
      </c>
      <c r="D9" s="6">
        <f>+'2002'!F9</f>
        <v>1.0811485642946317</v>
      </c>
      <c r="E9" s="6">
        <f>+'2003'!F9</f>
        <v>1.0660736975857688</v>
      </c>
      <c r="F9" s="6">
        <f>+'2004'!F9</f>
        <v>0.69756097560975605</v>
      </c>
      <c r="G9" s="6">
        <f>+'2005'!F9</f>
        <v>0.88067349926793559</v>
      </c>
      <c r="H9" s="6">
        <f>+'2006'!F9</f>
        <v>0.86836363636363634</v>
      </c>
      <c r="I9" s="6">
        <f>+'2007'!F9</f>
        <v>0.80875576036866359</v>
      </c>
      <c r="J9" s="6">
        <f>+'2008'!F9</f>
        <v>0.7000739644970414</v>
      </c>
      <c r="K9" s="6">
        <f>+'2009'!F9</f>
        <v>0.55189822294022617</v>
      </c>
      <c r="L9" s="6">
        <f>+'2010'!F9</f>
        <v>2.5837813620071683</v>
      </c>
      <c r="M9" s="6">
        <f>+'2011'!F9</f>
        <v>0.96121883656509699</v>
      </c>
      <c r="N9" s="6">
        <f>+'2012'!F9</f>
        <v>1.205223880597015</v>
      </c>
      <c r="O9" s="6">
        <f>+'2013'!F9</f>
        <v>1.1065737051792828</v>
      </c>
      <c r="P9" s="6">
        <f>+'2014'!F9</f>
        <v>0.95755517826825132</v>
      </c>
      <c r="Q9" s="6">
        <f>+'2015'!F9</f>
        <v>1.0483005366726297</v>
      </c>
      <c r="R9" s="6">
        <f>+'2016'!F9</f>
        <v>0.93069306930693074</v>
      </c>
      <c r="S9" s="6">
        <f>+'2017'!F9</f>
        <v>0.50452923414768047</v>
      </c>
      <c r="T9" s="6">
        <f>+'2018'!F9</f>
        <v>1.5626865671641792</v>
      </c>
      <c r="U9" s="6">
        <f>+'2019'!F9</f>
        <v>0.77191129883843712</v>
      </c>
      <c r="V9" s="6">
        <f>+'2020'!F9</f>
        <v>0.60865724381625441</v>
      </c>
      <c r="W9" s="6">
        <f>+'2021'!F9</f>
        <v>1.0175953079178885</v>
      </c>
      <c r="X9" s="6">
        <f>+'2022'!G9</f>
        <v>1.0302562519296079</v>
      </c>
    </row>
    <row r="10" spans="2:24" s="7" customFormat="1" ht="20.100000000000001" customHeight="1" thickBot="1" x14ac:dyDescent="0.25">
      <c r="B10" s="5" t="s">
        <v>40</v>
      </c>
      <c r="C10" s="6">
        <f>+'2001'!F10</f>
        <v>1.0077262693156732</v>
      </c>
      <c r="D10" s="6">
        <f>+'2002'!F10</f>
        <v>0.96900114810562576</v>
      </c>
      <c r="E10" s="6">
        <f>+'2003'!F10</f>
        <v>0.95949367088607596</v>
      </c>
      <c r="F10" s="6">
        <f>+'2004'!F10</f>
        <v>0.89504373177842567</v>
      </c>
      <c r="G10" s="6">
        <f>+'2005'!F10</f>
        <v>1.0578512396694215</v>
      </c>
      <c r="H10" s="6">
        <f>+'2006'!F10</f>
        <v>1.0968109339407746</v>
      </c>
      <c r="I10" s="6">
        <f>+'2007'!F10</f>
        <v>1.160908193484699</v>
      </c>
      <c r="J10" s="6">
        <f>+'2008'!F10</f>
        <v>0.83725135623869806</v>
      </c>
      <c r="K10" s="6">
        <f>+'2009'!F10</f>
        <v>1.0452567449956485</v>
      </c>
      <c r="L10" s="6">
        <f>+'2010'!F10</f>
        <v>0.86813186813186816</v>
      </c>
      <c r="M10" s="6">
        <f>+'2011'!F10</f>
        <v>0.89607558139534882</v>
      </c>
      <c r="N10" s="6">
        <f>+'2012'!F10</f>
        <v>1.1049270072992701</v>
      </c>
      <c r="O10" s="6">
        <f>+'2013'!F10</f>
        <v>1.3654485049833887</v>
      </c>
      <c r="P10" s="6">
        <f>+'2014'!F10</f>
        <v>1.0200471698113207</v>
      </c>
      <c r="Q10" s="6">
        <f>+'2015'!F10</f>
        <v>1.0817174515235457</v>
      </c>
      <c r="R10" s="6">
        <f>+'2016'!F10</f>
        <v>0.92746113989637302</v>
      </c>
      <c r="S10" s="6">
        <f>+'2017'!F10</f>
        <v>1.026829268292683</v>
      </c>
      <c r="T10" s="6">
        <f>+'2018'!F10</f>
        <v>0.90167865707434047</v>
      </c>
      <c r="U10" s="6">
        <f>+'2019'!F10</f>
        <v>0.88696537678207743</v>
      </c>
      <c r="V10" s="6">
        <f>+'2020'!F10</f>
        <v>1.0854816824966078</v>
      </c>
      <c r="W10" s="6">
        <f>+'2021'!F10</f>
        <v>1.151883353584447</v>
      </c>
      <c r="X10" s="6">
        <f>+'2022'!G10</f>
        <v>0.91875662310137762</v>
      </c>
    </row>
    <row r="11" spans="2:24" s="7" customFormat="1" ht="20.100000000000001" customHeight="1" thickBot="1" x14ac:dyDescent="0.25">
      <c r="B11" s="5" t="s">
        <v>41</v>
      </c>
      <c r="C11" s="6">
        <f>+'2001'!F11</f>
        <v>0.91437308868501532</v>
      </c>
      <c r="D11" s="6">
        <f>+'2002'!F11</f>
        <v>0.90151515151515149</v>
      </c>
      <c r="E11" s="6">
        <f>+'2003'!F11</f>
        <v>0.99222395023328147</v>
      </c>
      <c r="F11" s="6">
        <f>+'2004'!F11</f>
        <v>0.98209052425919896</v>
      </c>
      <c r="G11" s="6">
        <f>+'2005'!F11</f>
        <v>0.85996119016817596</v>
      </c>
      <c r="H11" s="6">
        <f>+'2006'!F11</f>
        <v>0.68664609960334955</v>
      </c>
      <c r="I11" s="6">
        <f>+'2007'!F11</f>
        <v>0.85816186556927299</v>
      </c>
      <c r="J11" s="6">
        <f>+'2008'!F11</f>
        <v>0.76819407008086249</v>
      </c>
      <c r="K11" s="6">
        <f>+'2009'!F11</f>
        <v>0.84935654806964422</v>
      </c>
      <c r="L11" s="6">
        <f>+'2010'!F11</f>
        <v>0.89396170839469813</v>
      </c>
      <c r="M11" s="6">
        <f>+'2011'!F11</f>
        <v>1.052429925388183</v>
      </c>
      <c r="N11" s="6">
        <f>+'2012'!F11</f>
        <v>1.27318763326226</v>
      </c>
      <c r="O11" s="6">
        <f>+'2013'!F11</f>
        <v>1.2690371302706105</v>
      </c>
      <c r="P11" s="6">
        <f>+'2014'!F11</f>
        <v>1.096945551128818</v>
      </c>
      <c r="Q11" s="6">
        <f>+'2015'!F11</f>
        <v>1.2379411764705883</v>
      </c>
      <c r="R11" s="6">
        <f>+'2016'!F11</f>
        <v>1.1073844419391206</v>
      </c>
      <c r="S11" s="6">
        <f>+'2017'!F11</f>
        <v>0.89490311710193771</v>
      </c>
      <c r="T11" s="6">
        <f>+'2018'!F11</f>
        <v>0.95463709677419351</v>
      </c>
      <c r="U11" s="6">
        <f>+'2019'!F11</f>
        <v>0.91383975026014563</v>
      </c>
      <c r="V11" s="6">
        <f>+'2020'!F11</f>
        <v>1.0306586826347306</v>
      </c>
      <c r="W11" s="6">
        <f>+'2021'!F11</f>
        <v>0.96905676483141268</v>
      </c>
      <c r="X11" s="6">
        <f>+'2022'!G11</f>
        <v>0.94249873716113819</v>
      </c>
    </row>
    <row r="12" spans="2:24" s="7" customFormat="1" ht="20.100000000000001" customHeight="1" thickBot="1" x14ac:dyDescent="0.25">
      <c r="B12" s="5" t="s">
        <v>42</v>
      </c>
      <c r="C12" s="6">
        <f>+'2001'!F12</f>
        <v>2.6839557399723373</v>
      </c>
      <c r="D12" s="6">
        <f>+'2002'!F12</f>
        <v>1.283210332103321</v>
      </c>
      <c r="E12" s="6">
        <f>+'2003'!F12</f>
        <v>1.0594405594405594</v>
      </c>
      <c r="F12" s="6">
        <f>+'2004'!F12</f>
        <v>0.78029766123316802</v>
      </c>
      <c r="G12" s="6">
        <f>+'2005'!F12</f>
        <v>0.89116094986807393</v>
      </c>
      <c r="H12" s="6">
        <f>+'2006'!F12</f>
        <v>0.84853249475890991</v>
      </c>
      <c r="I12" s="6">
        <f>+'2007'!F12</f>
        <v>0.94722598105548039</v>
      </c>
      <c r="J12" s="6">
        <f>+'2008'!F12</f>
        <v>0.57711651299245603</v>
      </c>
      <c r="K12" s="6">
        <f>+'2009'!F12</f>
        <v>0.54797106008178675</v>
      </c>
      <c r="L12" s="6">
        <f>+'2010'!F12</f>
        <v>0.88453237410071939</v>
      </c>
      <c r="M12" s="6">
        <f>+'2011'!F12</f>
        <v>0.92297035189803267</v>
      </c>
      <c r="N12" s="6">
        <f>+'2012'!F12</f>
        <v>1.3937007874015748</v>
      </c>
      <c r="O12" s="6">
        <f>+'2013'!F12</f>
        <v>1.1313213703099512</v>
      </c>
      <c r="P12" s="6">
        <f>+'2014'!F12</f>
        <v>0.63758680555555558</v>
      </c>
      <c r="Q12" s="6">
        <f>+'2015'!F12</f>
        <v>1.2849479331019249</v>
      </c>
      <c r="R12" s="6">
        <f>+'2016'!F12</f>
        <v>1.0098408104196817</v>
      </c>
      <c r="S12" s="6">
        <f>+'2017'!F12</f>
        <v>1.1447267128560432</v>
      </c>
      <c r="T12" s="6">
        <f>+'2018'!F12</f>
        <v>1.0763535400277648</v>
      </c>
      <c r="U12" s="6">
        <f>+'2019'!F12</f>
        <v>1.077022933794894</v>
      </c>
      <c r="V12" s="6">
        <f>+'2020'!F12</f>
        <v>1.0970873786407767</v>
      </c>
      <c r="W12" s="6">
        <f>+'2021'!F12</f>
        <v>1.2689549180327868</v>
      </c>
      <c r="X12" s="6">
        <f>+'2022'!G12</f>
        <v>0.94272872263302887</v>
      </c>
    </row>
    <row r="13" spans="2:24" s="7" customFormat="1" ht="20.100000000000001" customHeight="1" thickBot="1" x14ac:dyDescent="0.25">
      <c r="B13" s="5" t="s">
        <v>43</v>
      </c>
      <c r="C13" s="6">
        <f>+'2001'!F13</f>
        <v>0.77777777777777779</v>
      </c>
      <c r="D13" s="6">
        <f>+'2002'!F13</f>
        <v>1.1267605633802817</v>
      </c>
      <c r="E13" s="6">
        <f>+'2003'!F13</f>
        <v>0.99579831932773111</v>
      </c>
      <c r="F13" s="6">
        <f>+'2004'!F13</f>
        <v>0.82156133828996281</v>
      </c>
      <c r="G13" s="6">
        <f>+'2005'!F13</f>
        <v>1.0111524163568772</v>
      </c>
      <c r="H13" s="6">
        <f>+'2006'!F13</f>
        <v>0.86243386243386244</v>
      </c>
      <c r="I13" s="6">
        <f>+'2007'!F13</f>
        <v>0.63479923518164438</v>
      </c>
      <c r="J13" s="6">
        <f>+'2008'!F13</f>
        <v>1.0896226415094339</v>
      </c>
      <c r="K13" s="6">
        <f>+'2009'!F13</f>
        <v>0.96010638297872342</v>
      </c>
      <c r="L13" s="6">
        <f>+'2010'!F13</f>
        <v>0.81034482758620685</v>
      </c>
      <c r="M13" s="6">
        <f>+'2011'!F13</f>
        <v>1.4599406528189911</v>
      </c>
      <c r="N13" s="6">
        <f>+'2012'!F13</f>
        <v>0.98910081743869205</v>
      </c>
      <c r="O13" s="6">
        <f>+'2013'!F13</f>
        <v>1.1598837209302326</v>
      </c>
      <c r="P13" s="6">
        <f>+'2014'!F13</f>
        <v>0.93530997304582209</v>
      </c>
      <c r="Q13" s="6">
        <f>+'2015'!F13</f>
        <v>1.0489913544668588</v>
      </c>
      <c r="R13" s="6">
        <f>+'2016'!F13</f>
        <v>1.0751173708920188</v>
      </c>
      <c r="S13" s="6">
        <f>+'2017'!F13</f>
        <v>0.8764044943820225</v>
      </c>
      <c r="T13" s="6">
        <f>+'2018'!F13</f>
        <v>0.90384615384615385</v>
      </c>
      <c r="U13" s="6">
        <f>+'2019'!F13</f>
        <v>0.98826979472140764</v>
      </c>
      <c r="V13" s="6">
        <f>+'2020'!F13</f>
        <v>1.0760000000000001</v>
      </c>
      <c r="W13" s="6">
        <f>+'2021'!F13</f>
        <v>1.215547703180212</v>
      </c>
      <c r="X13" s="6">
        <f>+'2022'!G13</f>
        <v>0.77751756440281028</v>
      </c>
    </row>
    <row r="14" spans="2:24" s="7" customFormat="1" ht="20.100000000000001" customHeight="1" thickBot="1" x14ac:dyDescent="0.25">
      <c r="B14" s="5" t="s">
        <v>44</v>
      </c>
      <c r="C14" s="6">
        <f>+'2001'!F14</f>
        <v>0.73695345557122705</v>
      </c>
      <c r="D14" s="6">
        <f>+'2002'!F14</f>
        <v>1.4727061556329848</v>
      </c>
      <c r="E14" s="6">
        <f>+'2003'!F14</f>
        <v>1.0679287305122493</v>
      </c>
      <c r="F14" s="6">
        <f>+'2004'!F14</f>
        <v>0.7858921161825726</v>
      </c>
      <c r="G14" s="6">
        <f>+'2005'!F14</f>
        <v>0.78282208588957058</v>
      </c>
      <c r="H14" s="6">
        <f>+'2006'!F14</f>
        <v>0.85308848080133559</v>
      </c>
      <c r="I14" s="6">
        <f>+'2007'!F14</f>
        <v>0.95</v>
      </c>
      <c r="J14" s="6">
        <f>+'2008'!F14</f>
        <v>0.95081081081081076</v>
      </c>
      <c r="K14" s="6">
        <f>+'2009'!F14</f>
        <v>1.1165644171779141</v>
      </c>
      <c r="L14" s="6">
        <f>+'2010'!F14</f>
        <v>0.98072916666666665</v>
      </c>
      <c r="M14" s="6">
        <f>+'2011'!F14</f>
        <v>1.1037735849056605</v>
      </c>
      <c r="N14" s="6">
        <f>+'2012'!F14</f>
        <v>1.1985018726591761</v>
      </c>
      <c r="O14" s="6">
        <f>+'2013'!F14</f>
        <v>1.0012812299807816</v>
      </c>
      <c r="P14" s="6">
        <f>+'2014'!F14</f>
        <v>1.0502248875562219</v>
      </c>
      <c r="Q14" s="6">
        <f>+'2015'!F14</f>
        <v>1.1315068493150684</v>
      </c>
      <c r="R14" s="6">
        <f>+'2016'!F14</f>
        <v>0.94830827067669177</v>
      </c>
      <c r="S14" s="6">
        <f>+'2017'!F14</f>
        <v>1.0912375790424571</v>
      </c>
      <c r="T14" s="6">
        <f>+'2018'!F14</f>
        <v>1.037525354969574</v>
      </c>
      <c r="U14" s="6">
        <f>+'2019'!F14</f>
        <v>0.99617590822179736</v>
      </c>
      <c r="V14" s="6">
        <f>+'2020'!F14</f>
        <v>0.90417136414881627</v>
      </c>
      <c r="W14" s="6">
        <f>+'2021'!F14</f>
        <v>0.94420226678291197</v>
      </c>
      <c r="X14" s="6">
        <f>+'2022'!G14</f>
        <v>0.89160516605166051</v>
      </c>
    </row>
    <row r="15" spans="2:24" s="7" customFormat="1" ht="20.100000000000001" customHeight="1" thickBot="1" x14ac:dyDescent="0.25">
      <c r="B15" s="5" t="s">
        <v>45</v>
      </c>
      <c r="C15" s="6">
        <f>+'2001'!F15</f>
        <v>1.0908096280087527</v>
      </c>
      <c r="D15" s="6">
        <f>+'2002'!F15</f>
        <v>0.6708984375</v>
      </c>
      <c r="E15" s="6">
        <f>+'2003'!F15</f>
        <v>1.1290322580645162</v>
      </c>
      <c r="F15" s="6">
        <f>+'2004'!F15</f>
        <v>0.99842643587726199</v>
      </c>
      <c r="G15" s="6">
        <f>+'2005'!F15</f>
        <v>0.6811594202898551</v>
      </c>
      <c r="H15" s="6">
        <f>+'2006'!F15</f>
        <v>0.79954827780914739</v>
      </c>
      <c r="I15" s="6">
        <f>+'2007'!F15</f>
        <v>1.0194690265486726</v>
      </c>
      <c r="J15" s="6">
        <f>+'2008'!F15</f>
        <v>0.73375671714704449</v>
      </c>
      <c r="K15" s="6">
        <f>+'2009'!F15</f>
        <v>0.73253833049403749</v>
      </c>
      <c r="L15" s="6">
        <f>+'2010'!F15</f>
        <v>0.86779367143476371</v>
      </c>
      <c r="M15" s="6">
        <f>+'2011'!F15</f>
        <v>0.80372492836676213</v>
      </c>
      <c r="N15" s="6">
        <f>+'2012'!F15</f>
        <v>1.1459506279774794</v>
      </c>
      <c r="O15" s="6">
        <f>+'2013'!F15</f>
        <v>1.2404268675455117</v>
      </c>
      <c r="P15" s="6">
        <f>+'2014'!F15</f>
        <v>1.30142063001853</v>
      </c>
      <c r="Q15" s="6">
        <f>+'2015'!F15</f>
        <v>1.2831969792322215</v>
      </c>
      <c r="R15" s="6">
        <f>+'2016'!F15</f>
        <v>1.0388548057259714</v>
      </c>
      <c r="S15" s="6">
        <f>+'2017'!F15</f>
        <v>0.89866255144032925</v>
      </c>
      <c r="T15" s="6">
        <f>+'2018'!F15</f>
        <v>0.83325761017719213</v>
      </c>
      <c r="U15" s="6">
        <f>+'2019'!F15</f>
        <v>0.86856875584658555</v>
      </c>
      <c r="V15" s="6">
        <f>+'2020'!F15</f>
        <v>0.98161586840832127</v>
      </c>
      <c r="W15" s="6">
        <f>+'2021'!F15</f>
        <v>0.71090363454484828</v>
      </c>
      <c r="X15" s="6">
        <f>+'2022'!G15</f>
        <v>1.1547545059042883</v>
      </c>
    </row>
    <row r="16" spans="2:24" s="7" customFormat="1" ht="20.100000000000001" customHeight="1" thickBot="1" x14ac:dyDescent="0.25">
      <c r="B16" s="5" t="s">
        <v>46</v>
      </c>
      <c r="C16" s="6">
        <f>+'2001'!F16</f>
        <v>0.95588038085020788</v>
      </c>
      <c r="D16" s="6">
        <f>+'2002'!F16</f>
        <v>1.1392740302227762</v>
      </c>
      <c r="E16" s="6">
        <f>+'2003'!F16</f>
        <v>1.1254598969830758</v>
      </c>
      <c r="F16" s="6">
        <f>+'2004'!F16</f>
        <v>0.79656969170646985</v>
      </c>
      <c r="G16" s="6">
        <f>+'2005'!F16</f>
        <v>0.83644811564274657</v>
      </c>
      <c r="H16" s="6">
        <f>+'2006'!F16</f>
        <v>0.78716577540106947</v>
      </c>
      <c r="I16" s="6">
        <f>+'2007'!F16</f>
        <v>0.87769359441109907</v>
      </c>
      <c r="J16" s="6">
        <f>+'2008'!F16</f>
        <v>0.99006682318945283</v>
      </c>
      <c r="K16" s="6">
        <f>+'2009'!F16</f>
        <v>0.97810041365885314</v>
      </c>
      <c r="L16" s="6">
        <f>+'2010'!F16</f>
        <v>0.9505466778805719</v>
      </c>
      <c r="M16" s="6">
        <f>+'2011'!F16</f>
        <v>1.0062971175166298</v>
      </c>
      <c r="N16" s="6">
        <f>+'2012'!F16</f>
        <v>1.2563038969544809</v>
      </c>
      <c r="O16" s="6">
        <f>+'2013'!F16</f>
        <v>1.2067838629704755</v>
      </c>
      <c r="P16" s="6">
        <f>+'2014'!F16</f>
        <v>1.0789283128167995</v>
      </c>
      <c r="Q16" s="6">
        <f>+'2015'!F16</f>
        <v>1.4063211463773939</v>
      </c>
      <c r="R16" s="6">
        <f>+'2016'!F16</f>
        <v>1.0937385124372012</v>
      </c>
      <c r="S16" s="6">
        <f>+'2017'!F16</f>
        <v>1.0414717410544949</v>
      </c>
      <c r="T16" s="6">
        <f>+'2018'!F16</f>
        <v>1.0772613811957685</v>
      </c>
      <c r="U16" s="6">
        <f>+'2019'!F16</f>
        <v>0.91642848976792046</v>
      </c>
      <c r="V16" s="6">
        <f>+'2020'!F16</f>
        <v>0.96487858416792427</v>
      </c>
      <c r="W16" s="6">
        <f>+'2021'!F16</f>
        <v>0.93148003132341428</v>
      </c>
      <c r="X16" s="6">
        <f>+'2022'!G16</f>
        <v>0.97952536063285245</v>
      </c>
    </row>
    <row r="17" spans="2:24" s="7" customFormat="1" ht="20.100000000000001" customHeight="1" thickBot="1" x14ac:dyDescent="0.25">
      <c r="B17" s="5" t="s">
        <v>47</v>
      </c>
      <c r="C17" s="6">
        <f>+'2001'!F17</f>
        <v>0.94830371567043614</v>
      </c>
      <c r="D17" s="6">
        <f>+'2002'!F17</f>
        <v>0.5553299492385787</v>
      </c>
      <c r="E17" s="6">
        <f>+'2003'!F17</f>
        <v>1.8185567010309278</v>
      </c>
      <c r="F17" s="6">
        <f>+'2004'!F17</f>
        <v>0.64313725490196083</v>
      </c>
      <c r="G17" s="6">
        <f>+'2005'!F17</f>
        <v>0.52230685527747556</v>
      </c>
      <c r="H17" s="6">
        <f>+'2006'!F17</f>
        <v>0.73313492063492058</v>
      </c>
      <c r="I17" s="6">
        <f>+'2007'!F17</f>
        <v>0.99015219337511196</v>
      </c>
      <c r="J17" s="6">
        <f>+'2008'!F17</f>
        <v>1.0232919254658386</v>
      </c>
      <c r="K17" s="6">
        <f>+'2009'!F17</f>
        <v>0.91808650065530795</v>
      </c>
      <c r="L17" s="6">
        <f>+'2010'!F17</f>
        <v>0.74625935162094759</v>
      </c>
      <c r="M17" s="6">
        <f>+'2011'!F17</f>
        <v>0.92890262751159192</v>
      </c>
      <c r="N17" s="6">
        <f>+'2012'!F17</f>
        <v>1.4787644787644787</v>
      </c>
      <c r="O17" s="6">
        <f>+'2013'!F17</f>
        <v>0.96507352941176472</v>
      </c>
      <c r="P17" s="6">
        <f>+'2014'!F17</f>
        <v>0.86163934426229505</v>
      </c>
      <c r="Q17" s="6">
        <f>+'2015'!F17</f>
        <v>1.4450915141430949</v>
      </c>
      <c r="R17" s="6">
        <f>+'2016'!F17</f>
        <v>1.2468354430379747</v>
      </c>
      <c r="S17" s="6">
        <f>+'2017'!F17</f>
        <v>1.2815934065934067</v>
      </c>
      <c r="T17" s="6">
        <f>+'2018'!F17</f>
        <v>0.90179514255543824</v>
      </c>
      <c r="U17" s="6">
        <f>+'2019'!F17</f>
        <v>0.9854586129753915</v>
      </c>
      <c r="V17" s="6">
        <f>+'2020'!F17</f>
        <v>0.9871060171919771</v>
      </c>
      <c r="W17" s="6">
        <f>+'2021'!F17</f>
        <v>0.89053591790193842</v>
      </c>
      <c r="X17" s="6">
        <f>+'2022'!G17</f>
        <v>1.2116920842411039</v>
      </c>
    </row>
    <row r="18" spans="2:24" s="7" customFormat="1" ht="20.100000000000001" customHeight="1" thickBot="1" x14ac:dyDescent="0.25">
      <c r="B18" s="5" t="s">
        <v>48</v>
      </c>
      <c r="C18" s="6">
        <f>+'2001'!F18</f>
        <v>0.8883928571428571</v>
      </c>
      <c r="D18" s="6">
        <f>+'2002'!F18</f>
        <v>1.4217687074829932</v>
      </c>
      <c r="E18" s="6">
        <f>+'2003'!F18</f>
        <v>1.0269784172661871</v>
      </c>
      <c r="F18" s="6">
        <f>+'2004'!F18</f>
        <v>0.85639686684073102</v>
      </c>
      <c r="G18" s="6">
        <f>+'2005'!F18</f>
        <v>0.55542452830188682</v>
      </c>
      <c r="H18" s="6">
        <f>+'2006'!F18</f>
        <v>0.99408983451536648</v>
      </c>
      <c r="I18" s="6">
        <f>+'2007'!F18</f>
        <v>1.2490706319702602</v>
      </c>
      <c r="J18" s="6">
        <f>+'2008'!F18</f>
        <v>0.90380047505938244</v>
      </c>
      <c r="K18" s="6">
        <f>+'2009'!F18</f>
        <v>0.91314285714285715</v>
      </c>
      <c r="L18" s="6">
        <f>+'2010'!F18</f>
        <v>0.80319148936170215</v>
      </c>
      <c r="M18" s="6">
        <f>+'2011'!F18</f>
        <v>1.268983268983269</v>
      </c>
      <c r="N18" s="6">
        <f>+'2012'!F18</f>
        <v>1.1434210526315789</v>
      </c>
      <c r="O18" s="6">
        <f>+'2013'!F18</f>
        <v>0.96010638297872342</v>
      </c>
      <c r="P18" s="6">
        <f>+'2014'!F18</f>
        <v>0.94576719576719581</v>
      </c>
      <c r="Q18" s="6">
        <f>+'2015'!F18</f>
        <v>1.0119047619047619</v>
      </c>
      <c r="R18" s="6">
        <f>+'2016'!F18</f>
        <v>0.87308868501529047</v>
      </c>
      <c r="S18" s="6">
        <f>+'2017'!F18</f>
        <v>1.1312500000000001</v>
      </c>
      <c r="T18" s="6">
        <f>+'2018'!F18</f>
        <v>0.97887323943661975</v>
      </c>
      <c r="U18" s="6">
        <f>+'2019'!F18</f>
        <v>0.94534412955465585</v>
      </c>
      <c r="V18" s="6">
        <f>+'2020'!F18</f>
        <v>1.014792899408284</v>
      </c>
      <c r="W18" s="6">
        <f>+'2021'!F18</f>
        <v>0.84291187739463602</v>
      </c>
      <c r="X18" s="6">
        <f>+'2022'!G18</f>
        <v>0.88194444444444442</v>
      </c>
    </row>
    <row r="19" spans="2:24" s="7" customFormat="1" ht="20.100000000000001" customHeight="1" thickBot="1" x14ac:dyDescent="0.25">
      <c r="B19" s="5" t="s">
        <v>49</v>
      </c>
      <c r="C19" s="6">
        <f>+'2001'!F19</f>
        <v>0.99176954732510292</v>
      </c>
      <c r="D19" s="6">
        <f>+'2002'!F19</f>
        <v>1.1726098191214471</v>
      </c>
      <c r="E19" s="6">
        <f>+'2003'!F19</f>
        <v>1.0476190476190477</v>
      </c>
      <c r="F19" s="6">
        <f>+'2004'!F19</f>
        <v>0.76472502440611778</v>
      </c>
      <c r="G19" s="6">
        <f>+'2005'!F19</f>
        <v>0.81377066955814581</v>
      </c>
      <c r="H19" s="6">
        <f>+'2006'!F19</f>
        <v>0.77957359009628613</v>
      </c>
      <c r="I19" s="6">
        <f>+'2007'!F19</f>
        <v>0.77842655193607868</v>
      </c>
      <c r="J19" s="6">
        <f>+'2008'!F19</f>
        <v>0.88240405503258512</v>
      </c>
      <c r="K19" s="6">
        <f>+'2009'!F19</f>
        <v>0.65004393673110716</v>
      </c>
      <c r="L19" s="6">
        <f>+'2010'!F19</f>
        <v>1.1380208333333333</v>
      </c>
      <c r="M19" s="6">
        <f>+'2011'!F19</f>
        <v>0.95508939884555821</v>
      </c>
      <c r="N19" s="6">
        <f>+'2012'!F19</f>
        <v>1.3494704992435704</v>
      </c>
      <c r="O19" s="6">
        <f>+'2013'!F19</f>
        <v>1.0200839875844441</v>
      </c>
      <c r="P19" s="6">
        <f>+'2014'!F19</f>
        <v>0.92543227665706052</v>
      </c>
      <c r="Q19" s="6">
        <f>+'2015'!F19</f>
        <v>1.1187248622076569</v>
      </c>
      <c r="R19" s="6">
        <f>+'2016'!F19</f>
        <v>1.0383029658199228</v>
      </c>
      <c r="S19" s="6">
        <f>+'2017'!F19</f>
        <v>1.3325454276850348</v>
      </c>
      <c r="T19" s="6">
        <f>+'2018'!F19</f>
        <v>0.92057117358322182</v>
      </c>
      <c r="U19" s="6">
        <f>+'2019'!F19</f>
        <v>0.94401933145388639</v>
      </c>
      <c r="V19" s="6">
        <f>+'2020'!F19</f>
        <v>1.4570259208731242</v>
      </c>
      <c r="W19" s="6">
        <f>+'2021'!F19</f>
        <v>1.0598603259062189</v>
      </c>
      <c r="X19" s="6">
        <f>+'2022'!G19</f>
        <v>0.91940718303764601</v>
      </c>
    </row>
    <row r="20" spans="2:24" s="7" customFormat="1" ht="20.100000000000001" customHeight="1" thickBot="1" x14ac:dyDescent="0.25">
      <c r="B20" s="5" t="s">
        <v>50</v>
      </c>
      <c r="C20" s="6">
        <f>+'2001'!F20</f>
        <v>0.78813559322033899</v>
      </c>
      <c r="D20" s="6">
        <f>+'2002'!F20</f>
        <v>1</v>
      </c>
      <c r="E20" s="6">
        <f>+'2003'!F20</f>
        <v>0.98355754857997013</v>
      </c>
      <c r="F20" s="6">
        <f>+'2004'!F20</f>
        <v>0.83995186522262333</v>
      </c>
      <c r="G20" s="6">
        <f>+'2005'!F20</f>
        <v>0.74829931972789121</v>
      </c>
      <c r="H20" s="6">
        <f>+'2006'!F20</f>
        <v>0.73079968329374501</v>
      </c>
      <c r="I20" s="6">
        <f>+'2007'!F20</f>
        <v>0.85346676197283777</v>
      </c>
      <c r="J20" s="6">
        <f>+'2008'!F20</f>
        <v>0.84281150159744411</v>
      </c>
      <c r="K20" s="6">
        <f>+'2009'!F20</f>
        <v>0.65534382767191379</v>
      </c>
      <c r="L20" s="6">
        <f>+'2010'!F20</f>
        <v>1.162779397473275</v>
      </c>
      <c r="M20" s="6">
        <f>+'2011'!F20</f>
        <v>1.2706766917293233</v>
      </c>
      <c r="N20" s="6">
        <f>+'2012'!F20</f>
        <v>1.1419795221843003</v>
      </c>
      <c r="O20" s="6">
        <f>+'2013'!F20</f>
        <v>1.0683690280065898</v>
      </c>
      <c r="P20" s="6">
        <f>+'2014'!F20</f>
        <v>0.94360269360269355</v>
      </c>
      <c r="Q20" s="6">
        <f>+'2015'!F20</f>
        <v>0.87892720306513406</v>
      </c>
      <c r="R20" s="6">
        <f>+'2016'!F20</f>
        <v>1.0272727272727273</v>
      </c>
      <c r="S20" s="6">
        <f>+'2017'!F20</f>
        <v>0.70951669157947184</v>
      </c>
      <c r="T20" s="6">
        <f>+'2018'!F20</f>
        <v>1.1707677165354331</v>
      </c>
      <c r="U20" s="6">
        <f>+'2019'!F20</f>
        <v>1.0897782585181179</v>
      </c>
      <c r="V20" s="6">
        <f>+'2020'!F20</f>
        <v>0.96253122398001667</v>
      </c>
      <c r="W20" s="6">
        <f>+'2021'!F20</f>
        <v>1.0789473684210527</v>
      </c>
      <c r="X20" s="6">
        <f>+'2022'!G20</f>
        <v>1.0627495721620079</v>
      </c>
    </row>
    <row r="21" spans="2:24" s="7" customFormat="1" ht="20.100000000000001" customHeight="1" thickBot="1" x14ac:dyDescent="0.25">
      <c r="B21" s="5" t="s">
        <v>51</v>
      </c>
      <c r="C21" s="6">
        <f>+'2001'!F21</f>
        <v>0.98865478119935168</v>
      </c>
      <c r="D21" s="6">
        <f>+'2002'!F21</f>
        <v>1.1368421052631579</v>
      </c>
      <c r="E21" s="6">
        <f>+'2003'!F21</f>
        <v>0.91098484848484851</v>
      </c>
      <c r="F21" s="6">
        <f>+'2004'!F21</f>
        <v>0.77138849929873776</v>
      </c>
      <c r="G21" s="6">
        <f>+'2005'!F21</f>
        <v>0.74142156862745101</v>
      </c>
      <c r="H21" s="6">
        <f>+'2006'!F21</f>
        <v>1.0067001675041876</v>
      </c>
      <c r="I21" s="6">
        <f>+'2007'!F21</f>
        <v>0.84603658536585369</v>
      </c>
      <c r="J21" s="6">
        <f>+'2008'!F21</f>
        <v>0.62097735399284859</v>
      </c>
      <c r="K21" s="6">
        <f>+'2009'!F21</f>
        <v>0.79532814238042271</v>
      </c>
      <c r="L21" s="6">
        <f>+'2010'!F21</f>
        <v>0.82960893854748607</v>
      </c>
      <c r="M21" s="6">
        <f>+'2011'!F21</f>
        <v>0.82151589242053791</v>
      </c>
      <c r="N21" s="6">
        <f>+'2012'!F21</f>
        <v>1.0295918367346939</v>
      </c>
      <c r="O21" s="6">
        <f>+'2013'!F21</f>
        <v>1.2888643880926129</v>
      </c>
      <c r="P21" s="6">
        <f>+'2014'!F21</f>
        <v>1.3068844807467912</v>
      </c>
      <c r="Q21" s="6">
        <f>+'2015'!F21</f>
        <v>1.4930015552099534</v>
      </c>
      <c r="R21" s="6">
        <f>+'2016'!F21</f>
        <v>0.99249061326658328</v>
      </c>
      <c r="S21" s="6">
        <f>+'2017'!F21</f>
        <v>0.95112781954887216</v>
      </c>
      <c r="T21" s="6">
        <f>+'2018'!F21</f>
        <v>1.0102622576966933</v>
      </c>
      <c r="U21" s="6">
        <f>+'2019'!F21</f>
        <v>0.80055401662049863</v>
      </c>
      <c r="V21" s="6">
        <f>+'2020'!F21</f>
        <v>0.85892634207240948</v>
      </c>
      <c r="W21" s="6">
        <f>+'2021'!F21</f>
        <v>1.1871275327771156</v>
      </c>
      <c r="X21" s="6">
        <f>+'2022'!G21</f>
        <v>1.1119894598155469</v>
      </c>
    </row>
    <row r="22" spans="2:24" s="7" customFormat="1" ht="15" thickBot="1" x14ac:dyDescent="0.25">
      <c r="B22" s="5" t="s">
        <v>52</v>
      </c>
      <c r="C22" s="6">
        <f>+'2001'!F22</f>
        <v>0.93390287769784175</v>
      </c>
      <c r="D22" s="6">
        <f>+'2002'!F22</f>
        <v>0.81073446327683618</v>
      </c>
      <c r="E22" s="6">
        <f>+'2003'!F22</f>
        <v>1.0776280323450136</v>
      </c>
      <c r="F22" s="6">
        <f>+'2004'!F22</f>
        <v>0.8056464811783961</v>
      </c>
      <c r="G22" s="6">
        <f>+'2005'!F22</f>
        <v>0.90170132325141772</v>
      </c>
      <c r="H22" s="6">
        <f>+'2006'!F22</f>
        <v>0.80848484848484847</v>
      </c>
      <c r="I22" s="6">
        <f>+'2007'!F22</f>
        <v>1.2581818181818183</v>
      </c>
      <c r="J22" s="6">
        <f>+'2008'!F22</f>
        <v>1.1339055793991417</v>
      </c>
      <c r="K22" s="6">
        <f>+'2009'!F22</f>
        <v>0.64978902953586493</v>
      </c>
      <c r="L22" s="6">
        <f>+'2010'!F22</f>
        <v>1.0837876614060258</v>
      </c>
      <c r="M22" s="6">
        <f>+'2011'!F22</f>
        <v>1.0197651102835863</v>
      </c>
      <c r="N22" s="6">
        <f>+'2012'!F22</f>
        <v>1.2699472759226713</v>
      </c>
      <c r="O22" s="6">
        <f>+'2013'!F22</f>
        <v>0.94541075729194546</v>
      </c>
      <c r="P22" s="6">
        <f>+'2014'!F22</f>
        <v>0.89674620390455528</v>
      </c>
      <c r="Q22" s="6">
        <f>+'2015'!F22</f>
        <v>1.153061224489796</v>
      </c>
      <c r="R22" s="6">
        <f>+'2016'!F22</f>
        <v>1.2425453427605286</v>
      </c>
      <c r="S22" s="6">
        <f>+'2017'!F22</f>
        <v>1.1857034795763994</v>
      </c>
      <c r="T22" s="6">
        <f>+'2018'!F22</f>
        <v>1.3346704871060171</v>
      </c>
      <c r="U22" s="6">
        <f>+'2019'!F22</f>
        <v>1.0759974667511083</v>
      </c>
      <c r="V22" s="6">
        <f>+'2020'!F22</f>
        <v>0.98800599700149927</v>
      </c>
      <c r="W22" s="6">
        <f>+'2021'!F22</f>
        <v>1.0407331975560081</v>
      </c>
      <c r="X22" s="6">
        <f>+'2022'!G22</f>
        <v>0.86672589960017765</v>
      </c>
    </row>
    <row r="23" spans="2:24" s="7" customFormat="1" ht="20.100000000000001" customHeight="1" thickBot="1" x14ac:dyDescent="0.25">
      <c r="B23" s="5" t="s">
        <v>53</v>
      </c>
      <c r="C23" s="6">
        <f>+'2001'!F23</f>
        <v>1.0124023886081763</v>
      </c>
      <c r="D23" s="6">
        <f>+'2002'!F23</f>
        <v>0.89824711415134673</v>
      </c>
      <c r="E23" s="6">
        <f>+'2003'!F23</f>
        <v>1.0517086330935252</v>
      </c>
      <c r="F23" s="6">
        <f>+'2004'!F23</f>
        <v>0.86606856776674146</v>
      </c>
      <c r="G23" s="6">
        <f>+'2005'!F23</f>
        <v>0.8884162303664922</v>
      </c>
      <c r="H23" s="6">
        <f>+'2006'!F23</f>
        <v>0.82547699214365877</v>
      </c>
      <c r="I23" s="6">
        <f>+'2007'!F23</f>
        <v>0.85710594315245481</v>
      </c>
      <c r="J23" s="6">
        <f>+'2008'!F23</f>
        <v>1.1034293552812071</v>
      </c>
      <c r="K23" s="6">
        <f>+'2009'!F23</f>
        <v>0.83865546218487397</v>
      </c>
      <c r="L23" s="6">
        <f>+'2010'!F23</f>
        <v>0.93095238095238098</v>
      </c>
      <c r="M23" s="6">
        <f>+'2011'!F23</f>
        <v>1.0087565674255692</v>
      </c>
      <c r="N23" s="6">
        <f>+'2012'!F23</f>
        <v>1.3120248790601243</v>
      </c>
      <c r="O23" s="6">
        <f>+'2013'!F23</f>
        <v>1.0797672030126668</v>
      </c>
      <c r="P23" s="6">
        <f>+'2014'!F23</f>
        <v>0.94106359649122806</v>
      </c>
      <c r="Q23" s="6">
        <f>+'2015'!F23</f>
        <v>1.0721804511278195</v>
      </c>
      <c r="R23" s="6">
        <f>+'2016'!F23</f>
        <v>1.115</v>
      </c>
      <c r="S23" s="6">
        <f>+'2017'!F23</f>
        <v>1.1212624584717608</v>
      </c>
      <c r="T23" s="6">
        <f>+'2018'!F23</f>
        <v>0.88803746275010642</v>
      </c>
      <c r="U23" s="6">
        <f>+'2019'!F23</f>
        <v>1.0111754966887416</v>
      </c>
      <c r="V23" s="6">
        <f>+'2020'!F23</f>
        <v>0.81635330126803674</v>
      </c>
      <c r="W23" s="6">
        <f>+'2021'!F23</f>
        <v>1.1397894736842105</v>
      </c>
      <c r="X23" s="6">
        <f>+'2022'!G23</f>
        <v>1.2072107377290096</v>
      </c>
    </row>
    <row r="24" spans="2:24" s="7" customFormat="1" ht="20.100000000000001" customHeight="1" thickBot="1" x14ac:dyDescent="0.25">
      <c r="B24" s="5" t="s">
        <v>54</v>
      </c>
      <c r="C24" s="6">
        <f>+'2001'!F24</f>
        <v>0.92138364779874216</v>
      </c>
      <c r="D24" s="6">
        <f>+'2002'!F24</f>
        <v>0.88268156424581001</v>
      </c>
      <c r="E24" s="6">
        <f>+'2003'!F24</f>
        <v>1.1246200607902737</v>
      </c>
      <c r="F24" s="6">
        <f>+'2004'!F24</f>
        <v>0.952755905511811</v>
      </c>
      <c r="G24" s="6">
        <f>+'2005'!F24</f>
        <v>0.85327313769751689</v>
      </c>
      <c r="H24" s="6">
        <f>+'2006'!F24</f>
        <v>0.94545454545454544</v>
      </c>
      <c r="I24" s="6">
        <f>+'2007'!F24</f>
        <v>0.91346153846153844</v>
      </c>
      <c r="J24" s="6">
        <f>+'2008'!F24</f>
        <v>0.90413223140495869</v>
      </c>
      <c r="K24" s="6">
        <f>+'2009'!F24</f>
        <v>0.82768777614138433</v>
      </c>
      <c r="L24" s="6">
        <f>+'2010'!F24</f>
        <v>1.1630094043887147</v>
      </c>
      <c r="M24" s="6">
        <f>+'2011'!F24</f>
        <v>1.004594180704441</v>
      </c>
      <c r="N24" s="6">
        <f>+'2012'!F24</f>
        <v>1.23828125</v>
      </c>
      <c r="O24" s="6">
        <f>+'2013'!F24</f>
        <v>1.1448979591836734</v>
      </c>
      <c r="P24" s="6">
        <f>+'2014'!F24</f>
        <v>0.89305816135084426</v>
      </c>
      <c r="Q24" s="6">
        <f>+'2015'!F24</f>
        <v>1.1252747252747253</v>
      </c>
      <c r="R24" s="6">
        <f>+'2016'!F24</f>
        <v>0.90689013035381749</v>
      </c>
      <c r="S24" s="6">
        <f>+'2017'!F24</f>
        <v>1.0736497545008183</v>
      </c>
      <c r="T24" s="6">
        <f>+'2018'!F24</f>
        <v>1.0023529411764707</v>
      </c>
      <c r="U24" s="6">
        <f>+'2019'!F24</f>
        <v>1.0453648915187377</v>
      </c>
      <c r="V24" s="6">
        <f>+'2020'!F24</f>
        <v>0.71992481203007519</v>
      </c>
      <c r="W24" s="6">
        <f>+'2021'!F24</f>
        <v>1.3325471698113207</v>
      </c>
      <c r="X24" s="6">
        <f>+'2022'!G24</f>
        <v>0.92151675485008822</v>
      </c>
    </row>
    <row r="25" spans="2:24" s="7" customFormat="1" ht="20.100000000000001" customHeight="1" thickBot="1" x14ac:dyDescent="0.25">
      <c r="B25" s="5" t="s">
        <v>55</v>
      </c>
      <c r="C25" s="6">
        <f>+'2001'!F25</f>
        <v>1.0300751879699248</v>
      </c>
      <c r="D25" s="6">
        <f>+'2002'!F25</f>
        <v>1.0298507462686568</v>
      </c>
      <c r="E25" s="6">
        <f>+'2003'!F25</f>
        <v>1.1283497884344147</v>
      </c>
      <c r="F25" s="6">
        <f>+'2004'!F25</f>
        <v>0.8321943811693242</v>
      </c>
      <c r="G25" s="6">
        <f>+'2005'!F25</f>
        <v>0.84872159090909094</v>
      </c>
      <c r="H25" s="6">
        <f>+'2006'!F25</f>
        <v>0.90745856353591159</v>
      </c>
      <c r="I25" s="6">
        <f>+'2007'!F25</f>
        <v>0.81791221826809013</v>
      </c>
      <c r="J25" s="6">
        <f>+'2008'!F25</f>
        <v>0.90530697190426634</v>
      </c>
      <c r="K25" s="6">
        <f>+'2009'!F25</f>
        <v>0.90935114503816794</v>
      </c>
      <c r="L25" s="6">
        <f>+'2010'!F25</f>
        <v>1.0194174757281553</v>
      </c>
      <c r="M25" s="6">
        <f>+'2011'!F25</f>
        <v>1.0508905852417303</v>
      </c>
      <c r="N25" s="6">
        <f>+'2012'!F25</f>
        <v>0.93819855358316895</v>
      </c>
      <c r="O25" s="6">
        <f>+'2013'!F25</f>
        <v>1.1810228802153433</v>
      </c>
      <c r="P25" s="6">
        <f>+'2014'!F25</f>
        <v>1.3564575645756458</v>
      </c>
      <c r="Q25" s="6">
        <f>+'2015'!F25</f>
        <v>1.2719568567026194</v>
      </c>
      <c r="R25" s="6">
        <f>+'2016'!F25</f>
        <v>0.97286184210526316</v>
      </c>
      <c r="S25" s="6">
        <f>+'2017'!F25</f>
        <v>0.95034246575342463</v>
      </c>
      <c r="T25" s="6">
        <f>+'2018'!F25</f>
        <v>1.1036682615629985</v>
      </c>
      <c r="U25" s="6">
        <f>+'2019'!F25</f>
        <v>1.0657578187650361</v>
      </c>
      <c r="V25" s="6">
        <f>+'2020'!F25</f>
        <v>1.1838006230529594</v>
      </c>
      <c r="W25" s="6">
        <f>+'2021'!F25</f>
        <v>1.0799289520426287</v>
      </c>
      <c r="X25" s="6">
        <f>+'2022'!G25</f>
        <v>1.103203781512605</v>
      </c>
    </row>
    <row r="26" spans="2:24" s="7" customFormat="1" ht="20.100000000000001" customHeight="1" thickBot="1" x14ac:dyDescent="0.25">
      <c r="B26" s="5" t="s">
        <v>56</v>
      </c>
      <c r="C26" s="6">
        <f>+'2001'!F26</f>
        <v>0.95833333333333337</v>
      </c>
      <c r="D26" s="6">
        <f>+'2002'!F26</f>
        <v>1.0935302390998594</v>
      </c>
      <c r="E26" s="6">
        <f>+'2003'!F26</f>
        <v>1.0201207243460764</v>
      </c>
      <c r="F26" s="6">
        <f>+'2004'!F26</f>
        <v>0.91821155943293353</v>
      </c>
      <c r="G26" s="6">
        <f>+'2005'!F26</f>
        <v>0.64340786430223595</v>
      </c>
      <c r="H26" s="6">
        <f>+'2006'!F26</f>
        <v>0.72344437460716526</v>
      </c>
      <c r="I26" s="6">
        <f>+'2007'!F26</f>
        <v>0.96356050069541033</v>
      </c>
      <c r="J26" s="6">
        <f>+'2008'!F26</f>
        <v>0.94906033630069242</v>
      </c>
      <c r="K26" s="6">
        <f>+'2009'!F26</f>
        <v>0.70847161572052397</v>
      </c>
      <c r="L26" s="6">
        <f>+'2010'!F26</f>
        <v>0.89459999999999995</v>
      </c>
      <c r="M26" s="6">
        <f>+'2011'!F26</f>
        <v>1.3645443196004994</v>
      </c>
      <c r="N26" s="6">
        <f>+'2012'!F26</f>
        <v>1.5352033660589059</v>
      </c>
      <c r="O26" s="6">
        <f>+'2013'!F26</f>
        <v>1.3750465549348232</v>
      </c>
      <c r="P26" s="6">
        <f>+'2014'!F26</f>
        <v>0.95373184734886862</v>
      </c>
      <c r="Q26" s="6">
        <f>+'2015'!F26</f>
        <v>1.3996818452972759</v>
      </c>
      <c r="R26" s="6">
        <f>+'2016'!F26</f>
        <v>1.1543606206527555</v>
      </c>
      <c r="S26" s="6">
        <f>+'2017'!F26</f>
        <v>1.8380829015544042</v>
      </c>
      <c r="T26" s="6">
        <f>+'2018'!F26</f>
        <v>0.86377358490566036</v>
      </c>
      <c r="U26" s="6">
        <f>+'2019'!F26</f>
        <v>1.0158699059561129</v>
      </c>
      <c r="V26" s="6">
        <f>+'2020'!F26</f>
        <v>1.1540663009778203</v>
      </c>
      <c r="W26" s="6">
        <f>+'2021'!F26</f>
        <v>1.0059895833333334</v>
      </c>
      <c r="X26" s="6">
        <f>+'2022'!G26</f>
        <v>0.96483329277196395</v>
      </c>
    </row>
    <row r="27" spans="2:24" ht="15" thickBot="1" x14ac:dyDescent="0.25">
      <c r="B27" s="5" t="s">
        <v>57</v>
      </c>
      <c r="C27" s="6">
        <f>+'2001'!F27</f>
        <v>1.0229508196721311</v>
      </c>
      <c r="D27" s="6">
        <f>+'2002'!F27</f>
        <v>0.8607242339832869</v>
      </c>
      <c r="E27" s="6">
        <f>+'2003'!F27</f>
        <v>1.0424929178470255</v>
      </c>
      <c r="F27" s="6">
        <f>+'2004'!F27</f>
        <v>0.88936170212765953</v>
      </c>
      <c r="G27" s="6">
        <f>+'2005'!F27</f>
        <v>0.99796747967479671</v>
      </c>
      <c r="H27" s="6">
        <f>+'2006'!F27</f>
        <v>0.96735395189003437</v>
      </c>
      <c r="I27" s="6">
        <f>+'2007'!F27</f>
        <v>0.86472602739726023</v>
      </c>
      <c r="J27" s="6">
        <f>+'2008'!F27</f>
        <v>0.58830409356725144</v>
      </c>
      <c r="K27" s="6">
        <f>+'2009'!F27</f>
        <v>1.1370023419203747</v>
      </c>
      <c r="L27" s="6">
        <f>+'2010'!F27</f>
        <v>0.60436893203883491</v>
      </c>
      <c r="M27" s="6">
        <f>+'2011'!F27</f>
        <v>0.62286158631415245</v>
      </c>
      <c r="N27" s="6">
        <f>+'2012'!F27</f>
        <v>0.90043290043290047</v>
      </c>
      <c r="O27" s="6">
        <f>+'2013'!F27</f>
        <v>2.2172523961661343</v>
      </c>
      <c r="P27" s="6">
        <f>+'2014'!F27</f>
        <v>0.90510083036773425</v>
      </c>
      <c r="Q27" s="6">
        <f>+'2015'!F27</f>
        <v>1.146969696969697</v>
      </c>
      <c r="R27" s="6">
        <f>+'2016'!F27</f>
        <v>1.3614678899082568</v>
      </c>
      <c r="S27" s="6">
        <f>+'2017'!F27</f>
        <v>1.2220039292730844</v>
      </c>
      <c r="T27" s="6">
        <f>+'2018'!F27</f>
        <v>0.96509598603839442</v>
      </c>
      <c r="U27" s="6">
        <f>+'2019'!F27</f>
        <v>1.3037974683544304</v>
      </c>
      <c r="V27" s="6">
        <f>+'2020'!F27</f>
        <v>0.98562628336755642</v>
      </c>
      <c r="W27" s="6">
        <f>+'2021'!F27</f>
        <v>1.0310965630114566</v>
      </c>
      <c r="X27" s="6">
        <f>+'2022'!G27</f>
        <v>1.2025931928687197</v>
      </c>
    </row>
    <row r="28" spans="2:24" ht="15" thickBot="1" x14ac:dyDescent="0.25">
      <c r="B28" s="5" t="s">
        <v>58</v>
      </c>
      <c r="C28" s="6">
        <f>+'2001'!F28</f>
        <v>0.95407407407407407</v>
      </c>
      <c r="D28" s="6">
        <f>+'2002'!F28</f>
        <v>0.86956521739130432</v>
      </c>
      <c r="E28" s="6">
        <f>+'2003'!F28</f>
        <v>1.1831932773109244</v>
      </c>
      <c r="F28" s="6">
        <f>+'2004'!F28</f>
        <v>0.66280193236714979</v>
      </c>
      <c r="G28" s="6">
        <f>+'2005'!F28</f>
        <v>0.78332034294621977</v>
      </c>
      <c r="H28" s="6">
        <f>+'2006'!F28</f>
        <v>0.97272727272727277</v>
      </c>
      <c r="I28" s="6">
        <f>+'2007'!F28</f>
        <v>0.79018492176386912</v>
      </c>
      <c r="J28" s="6">
        <f>+'2008'!F28</f>
        <v>0.85010593220338981</v>
      </c>
      <c r="K28" s="6">
        <f>+'2009'!F28</f>
        <v>0.56808974758491737</v>
      </c>
      <c r="L28" s="6">
        <f>+'2010'!F28</f>
        <v>1.3051584835301429</v>
      </c>
      <c r="M28" s="6">
        <f>+'2011'!F28</f>
        <v>1.0875955320399764</v>
      </c>
      <c r="N28" s="6">
        <f>+'2012'!F28</f>
        <v>1.27986798679868</v>
      </c>
      <c r="O28" s="6">
        <f>+'2013'!F28</f>
        <v>1.3710546574287914</v>
      </c>
      <c r="P28" s="6">
        <f>+'2014'!F28</f>
        <v>1.1025454545454545</v>
      </c>
      <c r="Q28" s="6">
        <f>+'2015'!F28</f>
        <v>1.034712950600801</v>
      </c>
      <c r="R28" s="6">
        <f>+'2016'!F28</f>
        <v>0.97668221185876081</v>
      </c>
      <c r="S28" s="6">
        <f>+'2017'!F28</f>
        <v>0.73652917131177997</v>
      </c>
      <c r="T28" s="6">
        <f>+'2018'!F28</f>
        <v>1.28542814221332</v>
      </c>
      <c r="U28" s="6">
        <f>+'2019'!F28</f>
        <v>1.0955534531693472</v>
      </c>
      <c r="V28" s="6">
        <f>+'2020'!F28</f>
        <v>1.1896325459317585</v>
      </c>
      <c r="W28" s="6">
        <f>+'2021'!F28</f>
        <v>1.0347728547392037</v>
      </c>
      <c r="X28" s="6">
        <f>+'2022'!G28</f>
        <v>0.88048533872598589</v>
      </c>
    </row>
    <row r="29" spans="2:24" ht="15" thickBot="1" x14ac:dyDescent="0.25">
      <c r="B29" s="5" t="s">
        <v>59</v>
      </c>
      <c r="C29" s="6">
        <f>+'2001'!F29</f>
        <v>0.91463414634146345</v>
      </c>
      <c r="D29" s="6">
        <f>+'2002'!F29</f>
        <v>1.1942257217847769</v>
      </c>
      <c r="E29" s="6">
        <f>+'2003'!F29</f>
        <v>0.93020457280385083</v>
      </c>
      <c r="F29" s="6">
        <f>+'2004'!F29</f>
        <v>0.9174664107485605</v>
      </c>
      <c r="G29" s="6">
        <f>+'2005'!F29</f>
        <v>0.73979183346677346</v>
      </c>
      <c r="H29" s="6">
        <f>+'2006'!F29</f>
        <v>0.62255097960815675</v>
      </c>
      <c r="I29" s="6">
        <f>+'2007'!F29</f>
        <v>0.8377440347071583</v>
      </c>
      <c r="J29" s="6">
        <f>+'2008'!F29</f>
        <v>1.0445261437908497</v>
      </c>
      <c r="K29" s="6">
        <f>+'2009'!F29</f>
        <v>0.76752767527675281</v>
      </c>
      <c r="L29" s="6">
        <f>+'2010'!F29</f>
        <v>0.79221854304635764</v>
      </c>
      <c r="M29" s="6">
        <f>+'2011'!F29</f>
        <v>1.021482602118003</v>
      </c>
      <c r="N29" s="6">
        <f>+'2012'!F29</f>
        <v>1.4344262295081966</v>
      </c>
      <c r="O29" s="6">
        <f>+'2013'!F29</f>
        <v>0.86809357889497263</v>
      </c>
      <c r="P29" s="6">
        <f>+'2014'!F29</f>
        <v>0.59107391910739193</v>
      </c>
      <c r="Q29" s="6">
        <f>+'2015'!F29</f>
        <v>1.7254063301967493</v>
      </c>
      <c r="R29" s="6">
        <f>+'2016'!F29</f>
        <v>1.0827309236947791</v>
      </c>
      <c r="S29" s="6">
        <f>+'2017'!F29</f>
        <v>1.286417726713172</v>
      </c>
      <c r="T29" s="6">
        <f>+'2018'!F29</f>
        <v>1.4549968963376785</v>
      </c>
      <c r="U29" s="6">
        <f>+'2019'!F29</f>
        <v>0.94840116279069764</v>
      </c>
      <c r="V29" s="6">
        <f>+'2020'!F29</f>
        <v>1.4315004659832247</v>
      </c>
      <c r="W29" s="6">
        <f>+'2021'!F29</f>
        <v>0.93898522800256901</v>
      </c>
      <c r="X29" s="6">
        <f>+'2022'!G29</f>
        <v>1.0739928747602083</v>
      </c>
    </row>
    <row r="30" spans="2:24" ht="15" thickBot="1" x14ac:dyDescent="0.25">
      <c r="B30" s="5" t="s">
        <v>60</v>
      </c>
      <c r="C30" s="6">
        <f>+'2001'!F30</f>
        <v>1.253393665158371</v>
      </c>
      <c r="D30" s="6">
        <f>+'2002'!F30</f>
        <v>1.0232558139534884</v>
      </c>
      <c r="E30" s="6">
        <f>+'2003'!F30</f>
        <v>0.95256916996047436</v>
      </c>
      <c r="F30" s="6">
        <f>+'2004'!F30</f>
        <v>0.85449735449735453</v>
      </c>
      <c r="G30" s="6">
        <f>+'2005'!F30</f>
        <v>0.93366093366093361</v>
      </c>
      <c r="H30" s="6">
        <f>+'2006'!F30</f>
        <v>0.91537132987910186</v>
      </c>
      <c r="I30" s="6">
        <f>+'2007'!F30</f>
        <v>1.0945674044265594</v>
      </c>
      <c r="J30" s="6">
        <f>+'2008'!F30</f>
        <v>0.78642384105960261</v>
      </c>
      <c r="K30" s="6">
        <f>+'2009'!F30</f>
        <v>0.85648148148148151</v>
      </c>
      <c r="L30" s="6">
        <f>+'2010'!F30</f>
        <v>0.95993031358885017</v>
      </c>
      <c r="M30" s="6">
        <f>+'2011'!F30</f>
        <v>0.8272425249169435</v>
      </c>
      <c r="N30" s="6">
        <f>+'2012'!F30</f>
        <v>1.4449339207048457</v>
      </c>
      <c r="O30" s="6">
        <f>+'2013'!F30</f>
        <v>1.4619565217391304</v>
      </c>
      <c r="P30" s="6">
        <f>+'2014'!F30</f>
        <v>1.1880597014925374</v>
      </c>
      <c r="Q30" s="6">
        <f>+'2015'!F30</f>
        <v>0.97837837837837838</v>
      </c>
      <c r="R30" s="6">
        <f>+'2016'!F30</f>
        <v>0.90549828178694158</v>
      </c>
      <c r="S30" s="6">
        <f>+'2017'!F30</f>
        <v>0.93509127789046653</v>
      </c>
      <c r="T30" s="6">
        <f>+'2018'!F30</f>
        <v>0.90393013100436681</v>
      </c>
      <c r="U30" s="6">
        <f>+'2019'!F30</f>
        <v>0.91315789473684206</v>
      </c>
      <c r="V30" s="6">
        <f>+'2020'!F30</f>
        <v>1.3015873015873016</v>
      </c>
      <c r="W30" s="6">
        <f>+'2021'!F30</f>
        <v>1.2041420118343196</v>
      </c>
      <c r="X30" s="6">
        <f>+'2022'!G30</f>
        <v>0.90666666666666662</v>
      </c>
    </row>
    <row r="31" spans="2:24" ht="15" thickBot="1" x14ac:dyDescent="0.25">
      <c r="B31" s="5" t="s">
        <v>61</v>
      </c>
      <c r="C31" s="6">
        <f>+'2001'!F31</f>
        <v>1.0309477756286267</v>
      </c>
      <c r="D31" s="6">
        <f>+'2002'!F31</f>
        <v>1.0478841870824054</v>
      </c>
      <c r="E31" s="6">
        <f>+'2003'!F31</f>
        <v>1.0503067484662576</v>
      </c>
      <c r="F31" s="6">
        <f>+'2004'!F31</f>
        <v>0.83713080168776366</v>
      </c>
      <c r="G31" s="6">
        <f>+'2005'!F31</f>
        <v>0.87556221889055474</v>
      </c>
      <c r="H31" s="6">
        <f>+'2006'!F31</f>
        <v>0.74556213017751483</v>
      </c>
      <c r="I31" s="6">
        <f>+'2007'!F31</f>
        <v>1.0740354535974974</v>
      </c>
      <c r="J31" s="6">
        <f>+'2008'!F31</f>
        <v>0.80651945320715035</v>
      </c>
      <c r="K31" s="6">
        <f>+'2009'!F31</f>
        <v>1.0312800769971127</v>
      </c>
      <c r="L31" s="6">
        <f>+'2010'!F31</f>
        <v>0.91710037174721193</v>
      </c>
      <c r="M31" s="6">
        <f>+'2011'!F31</f>
        <v>0.83327592146055807</v>
      </c>
      <c r="N31" s="6">
        <f>+'2012'!F31</f>
        <v>1.0133231823372668</v>
      </c>
      <c r="O31" s="6">
        <f>+'2013'!F31</f>
        <v>0.8617731172545281</v>
      </c>
      <c r="P31" s="6">
        <f>+'2014'!F31</f>
        <v>0.97293772416041735</v>
      </c>
      <c r="Q31" s="6">
        <f>+'2015'!F31</f>
        <v>1.1995404059747223</v>
      </c>
      <c r="R31" s="6">
        <f>+'2016'!F31</f>
        <v>0.89414071008494878</v>
      </c>
      <c r="S31" s="6">
        <f>+'2017'!F31</f>
        <v>1.3126085446335534</v>
      </c>
      <c r="T31" s="6">
        <f>+'2018'!F31</f>
        <v>1.1499760421657883</v>
      </c>
      <c r="U31" s="6">
        <f>+'2019'!F31</f>
        <v>1.0663232453316163</v>
      </c>
      <c r="V31" s="6">
        <f>+'2020'!F31</f>
        <v>1.3681229773462784</v>
      </c>
      <c r="W31" s="6">
        <f>+'2021'!F31</f>
        <v>1.0664928292046936</v>
      </c>
      <c r="X31" s="6">
        <f>+'2022'!G31</f>
        <v>0.86576129537738311</v>
      </c>
    </row>
    <row r="32" spans="2:24" ht="15" thickBot="1" x14ac:dyDescent="0.25">
      <c r="B32" s="5" t="s">
        <v>62</v>
      </c>
      <c r="C32" s="6">
        <f>+'2001'!F32</f>
        <v>0.69093231162196678</v>
      </c>
      <c r="D32" s="6">
        <f>+'2002'!F32</f>
        <v>0.7226027397260274</v>
      </c>
      <c r="E32" s="6">
        <f>+'2003'!F32</f>
        <v>1.1024258760107817</v>
      </c>
      <c r="F32" s="6">
        <f>+'2004'!F32</f>
        <v>0.85820895522388063</v>
      </c>
      <c r="G32" s="6">
        <f>+'2005'!F32</f>
        <v>0.81672932330827064</v>
      </c>
      <c r="H32" s="6">
        <f>+'2006'!F32</f>
        <v>0.8271276595744681</v>
      </c>
      <c r="I32" s="6">
        <f>+'2007'!F32</f>
        <v>0.76003086419753085</v>
      </c>
      <c r="J32" s="6">
        <f>+'2008'!F32</f>
        <v>0.70313542361574388</v>
      </c>
      <c r="K32" s="6">
        <f>+'2009'!F32</f>
        <v>0.69863861386138615</v>
      </c>
      <c r="L32" s="6">
        <f>+'2010'!F32</f>
        <v>0.90732889158086005</v>
      </c>
      <c r="M32" s="6">
        <f>+'2011'!F32</f>
        <v>0.88696655132641289</v>
      </c>
      <c r="N32" s="6">
        <f>+'2012'!F32</f>
        <v>1.6098334655035687</v>
      </c>
      <c r="O32" s="6">
        <f>+'2013'!F32</f>
        <v>1.5299714557564223</v>
      </c>
      <c r="P32" s="6">
        <f>+'2014'!F32</f>
        <v>1.3418647166361974</v>
      </c>
      <c r="Q32" s="6">
        <f>+'2015'!F32</f>
        <v>1.275390625</v>
      </c>
      <c r="R32" s="6">
        <f>+'2016'!F32</f>
        <v>1.1438923395445135</v>
      </c>
      <c r="S32" s="6">
        <f>+'2017'!F32</f>
        <v>0.8609550561797753</v>
      </c>
      <c r="T32" s="6">
        <f>+'2018'!F32</f>
        <v>1.2444029850746268</v>
      </c>
      <c r="U32" s="6">
        <f>+'2019'!F32</f>
        <v>1.2732123799359658</v>
      </c>
      <c r="V32" s="6">
        <f>+'2020'!F32</f>
        <v>0.9733893557422969</v>
      </c>
      <c r="W32" s="6">
        <f>+'2021'!F32</f>
        <v>0.99408866995073897</v>
      </c>
      <c r="X32" s="6">
        <f>+'2022'!G32</f>
        <v>1.1538653990492869</v>
      </c>
    </row>
    <row r="33" spans="2:24" ht="15" thickBot="1" x14ac:dyDescent="0.25">
      <c r="B33" s="5" t="s">
        <v>63</v>
      </c>
      <c r="C33" s="6">
        <f>+'2001'!F33</f>
        <v>0.91006423982869378</v>
      </c>
      <c r="D33" s="6">
        <f>+'2002'!F33</f>
        <v>0.84323040380047509</v>
      </c>
      <c r="E33" s="6">
        <f>+'2003'!F33</f>
        <v>0.7857142857142857</v>
      </c>
      <c r="F33" s="6">
        <f>+'2004'!F33</f>
        <v>0.83537653239929943</v>
      </c>
      <c r="G33" s="6">
        <f>+'2005'!F33</f>
        <v>0.62557603686635943</v>
      </c>
      <c r="H33" s="6">
        <f>+'2006'!F33</f>
        <v>0.97297297297297303</v>
      </c>
      <c r="I33" s="6">
        <f>+'2007'!F33</f>
        <v>1.0314285714285714</v>
      </c>
      <c r="J33" s="6">
        <f>+'2008'!F33</f>
        <v>0.98472222222222228</v>
      </c>
      <c r="K33" s="6">
        <f>+'2009'!F33</f>
        <v>0.69221411192214111</v>
      </c>
      <c r="L33" s="6">
        <f>+'2010'!F33</f>
        <v>0.76344086021505375</v>
      </c>
      <c r="M33" s="6">
        <f>+'2011'!F33</f>
        <v>0.86339522546419101</v>
      </c>
      <c r="N33" s="6">
        <f>+'2012'!F33</f>
        <v>1.1719939117199392</v>
      </c>
      <c r="O33" s="6">
        <f>+'2013'!F33</f>
        <v>0.94972826086956519</v>
      </c>
      <c r="P33" s="6">
        <f>+'2014'!F33</f>
        <v>1.0906630581867389</v>
      </c>
      <c r="Q33" s="6">
        <f>+'2015'!F33</f>
        <v>1.352112676056338</v>
      </c>
      <c r="R33" s="6">
        <f>+'2016'!F33</f>
        <v>1.5591397849462365</v>
      </c>
      <c r="S33" s="6">
        <f>+'2017'!F33</f>
        <v>0.77491408934707906</v>
      </c>
      <c r="T33" s="6">
        <f>+'2018'!F33</f>
        <v>1.510204081632653</v>
      </c>
      <c r="U33" s="6">
        <f>+'2019'!F33</f>
        <v>0.98974358974358978</v>
      </c>
      <c r="V33" s="6">
        <f>+'2020'!F33</f>
        <v>0.80270793036750487</v>
      </c>
      <c r="W33" s="6">
        <f>+'2021'!F33</f>
        <v>0.98145285935085003</v>
      </c>
      <c r="X33" s="6">
        <f>+'2022'!G33</f>
        <v>1.011302475780409</v>
      </c>
    </row>
    <row r="34" spans="2:24" ht="15" thickBot="1" x14ac:dyDescent="0.25">
      <c r="B34" s="5" t="s">
        <v>64</v>
      </c>
      <c r="C34" s="6">
        <f>+'2001'!F34</f>
        <v>1.043222003929273</v>
      </c>
      <c r="D34" s="6">
        <f>+'2002'!F34</f>
        <v>0.8610526315789474</v>
      </c>
      <c r="E34" s="6">
        <f>+'2003'!F34</f>
        <v>1.1666666666666667</v>
      </c>
      <c r="F34" s="6">
        <f>+'2004'!F34</f>
        <v>0.66903409090909094</v>
      </c>
      <c r="G34" s="6">
        <f>+'2005'!F34</f>
        <v>0.57845868152274837</v>
      </c>
      <c r="H34" s="6">
        <f>+'2006'!F34</f>
        <v>1.0610500610500611</v>
      </c>
      <c r="I34" s="6">
        <f>+'2007'!F34</f>
        <v>0.78748758689175768</v>
      </c>
      <c r="J34" s="6">
        <f>+'2008'!F34</f>
        <v>0.85605338417540511</v>
      </c>
      <c r="K34" s="6">
        <f>+'2009'!F34</f>
        <v>1.5315005727376862</v>
      </c>
      <c r="L34" s="6">
        <f>+'2010'!F34</f>
        <v>0.93434823977164605</v>
      </c>
      <c r="M34" s="6">
        <f>+'2011'!F34</f>
        <v>0.64752475247524754</v>
      </c>
      <c r="N34" s="6">
        <f>+'2012'!F34</f>
        <v>1.7219973009446694</v>
      </c>
      <c r="O34" s="6">
        <f>+'2013'!F34</f>
        <v>0.84951974386339379</v>
      </c>
      <c r="P34" s="6">
        <f>+'2014'!F34</f>
        <v>1.0182692307692307</v>
      </c>
      <c r="Q34" s="6">
        <f>+'2015'!F34</f>
        <v>1.0818833162743091</v>
      </c>
      <c r="R34" s="6">
        <f>+'2016'!F34</f>
        <v>1.7322485207100591</v>
      </c>
      <c r="S34" s="6">
        <f>+'2017'!F34</f>
        <v>0.80926130099228222</v>
      </c>
      <c r="T34" s="6">
        <f>+'2018'!F34</f>
        <v>1.3196930946291561</v>
      </c>
      <c r="U34" s="6">
        <f>+'2019'!F34</f>
        <v>1.3501440922190202</v>
      </c>
      <c r="V34" s="6">
        <f>+'2020'!F34</f>
        <v>1.052870090634441</v>
      </c>
      <c r="W34" s="6">
        <f>+'2021'!F34</f>
        <v>1.074698795180723</v>
      </c>
      <c r="X34" s="6">
        <f>+'2022'!G34</f>
        <v>0.88245614035087716</v>
      </c>
    </row>
    <row r="35" spans="2:24" ht="15" thickBot="1" x14ac:dyDescent="0.25">
      <c r="B35" s="5" t="s">
        <v>65</v>
      </c>
      <c r="C35" s="6">
        <f>+'2001'!F35</f>
        <v>1.0703703703703704</v>
      </c>
      <c r="D35" s="6">
        <f>+'2002'!F35</f>
        <v>1.1024305555555556</v>
      </c>
      <c r="E35" s="6">
        <f>+'2003'!F35</f>
        <v>1.0756880733944953</v>
      </c>
      <c r="F35" s="6">
        <f>+'2004'!F35</f>
        <v>0.77557755775577553</v>
      </c>
      <c r="G35" s="6">
        <f>+'2005'!F35</f>
        <v>0.95331325301204817</v>
      </c>
      <c r="H35" s="6">
        <f>+'2006'!F35</f>
        <v>0.61141011840688908</v>
      </c>
      <c r="I35" s="6">
        <f>+'2007'!F35</f>
        <v>0.91469194312796209</v>
      </c>
      <c r="J35" s="6">
        <f>+'2008'!F35</f>
        <v>0.93830570902394106</v>
      </c>
      <c r="K35" s="6">
        <f>+'2009'!F35</f>
        <v>0.98258977149075077</v>
      </c>
      <c r="L35" s="6">
        <f>+'2010'!F35</f>
        <v>1.0901001112347053</v>
      </c>
      <c r="M35" s="6">
        <f>+'2011'!F35</f>
        <v>0.88888888888888884</v>
      </c>
      <c r="N35" s="6">
        <f>+'2012'!F35</f>
        <v>1.0119904076738608</v>
      </c>
      <c r="O35" s="6">
        <f>+'2013'!F35</f>
        <v>1.5278745644599303</v>
      </c>
      <c r="P35" s="6">
        <f>+'2014'!F35</f>
        <v>1.0847222222222221</v>
      </c>
      <c r="Q35" s="6">
        <f>+'2015'!F35</f>
        <v>1.1388888888888888</v>
      </c>
      <c r="R35" s="6">
        <f>+'2016'!F35</f>
        <v>1.0726895119418485</v>
      </c>
      <c r="S35" s="6">
        <f>+'2017'!F35</f>
        <v>1.2445054945054945</v>
      </c>
      <c r="T35" s="6">
        <f>+'2018'!F35</f>
        <v>0.92455621301775148</v>
      </c>
      <c r="U35" s="6">
        <f>+'2019'!F35</f>
        <v>1.0980615735461801</v>
      </c>
      <c r="V35" s="6">
        <f>+'2020'!F35</f>
        <v>1.1335740072202165</v>
      </c>
      <c r="W35" s="6">
        <f>+'2021'!F35</f>
        <v>1.0375335120643432</v>
      </c>
      <c r="X35" s="6">
        <f>+'2022'!G35</f>
        <v>1.1016187050359711</v>
      </c>
    </row>
    <row r="36" spans="2:24" ht="15" thickBot="1" x14ac:dyDescent="0.25">
      <c r="B36" s="5" t="s">
        <v>32</v>
      </c>
      <c r="C36" s="6">
        <f>+'2001'!F36</f>
        <v>1.0783733421023787</v>
      </c>
      <c r="D36" s="6">
        <f>+'2002'!F36</f>
        <v>1.0338414963779867</v>
      </c>
      <c r="E36" s="6">
        <f>+'2003'!F36</f>
        <v>1.0172778237294366</v>
      </c>
      <c r="F36" s="6">
        <f>+'2004'!F36</f>
        <v>0.70499419279907083</v>
      </c>
      <c r="G36" s="6">
        <f>+'2005'!F36</f>
        <v>0.9156742300781413</v>
      </c>
      <c r="H36" s="6">
        <f>+'2006'!F36</f>
        <v>0.58888255224932062</v>
      </c>
      <c r="I36" s="6">
        <f>+'2007'!F36</f>
        <v>0.92787135395269671</v>
      </c>
      <c r="J36" s="6">
        <f>+'2008'!F36</f>
        <v>0.89774081150949758</v>
      </c>
      <c r="K36" s="6">
        <f>+'2009'!F36</f>
        <v>0.92048914882304611</v>
      </c>
      <c r="L36" s="6">
        <f>+'2010'!F36</f>
        <v>0.8860678744577698</v>
      </c>
      <c r="M36" s="6">
        <f>+'2011'!F36</f>
        <v>0.73132375512668901</v>
      </c>
      <c r="N36" s="6">
        <f>+'2012'!F36</f>
        <v>1.2777485107590063</v>
      </c>
      <c r="O36" s="6">
        <f>+'2013'!F36</f>
        <v>1.5122998011095992</v>
      </c>
      <c r="P36" s="6">
        <f>+'2014'!F36</f>
        <v>1.4221164670965101</v>
      </c>
      <c r="Q36" s="6">
        <f>+'2015'!F36</f>
        <v>1.3234313112361893</v>
      </c>
      <c r="R36" s="6">
        <f>+'2016'!F36</f>
        <v>1.4629919289244822</v>
      </c>
      <c r="S36" s="6">
        <f>+'2017'!F36</f>
        <v>1.2532656472481891</v>
      </c>
      <c r="T36" s="6">
        <f>+'2018'!F36</f>
        <v>0.9921235198998487</v>
      </c>
      <c r="U36" s="6">
        <f>+'2019'!F36</f>
        <v>0.95780376207422468</v>
      </c>
      <c r="V36" s="6">
        <f>+'2020'!F36</f>
        <v>1.0324350989702165</v>
      </c>
      <c r="W36" s="6">
        <f>+'2021'!F36</f>
        <v>0.95329181494661919</v>
      </c>
      <c r="X36" s="6">
        <f>+'2022'!G36</f>
        <v>1.0538325400780082</v>
      </c>
    </row>
    <row r="37" spans="2:24" ht="15" thickBot="1" x14ac:dyDescent="0.25">
      <c r="B37" s="5" t="s">
        <v>66</v>
      </c>
      <c r="C37" s="6">
        <f>+'2001'!F37</f>
        <v>0.94050679397723103</v>
      </c>
      <c r="D37" s="6">
        <f>+'2002'!F37</f>
        <v>0.64243672748675695</v>
      </c>
      <c r="E37" s="6">
        <f>+'2003'!F37</f>
        <v>0.95294117647058818</v>
      </c>
      <c r="F37" s="6">
        <f>+'2004'!F37</f>
        <v>0.60208838336751813</v>
      </c>
      <c r="G37" s="6">
        <f>+'2005'!F37</f>
        <v>0.78889773179466771</v>
      </c>
      <c r="H37" s="6">
        <f>+'2006'!F37</f>
        <v>0.62314068354717833</v>
      </c>
      <c r="I37" s="6">
        <f>+'2007'!F37</f>
        <v>1.0245003223726628</v>
      </c>
      <c r="J37" s="6">
        <f>+'2008'!F37</f>
        <v>0.94356087262491206</v>
      </c>
      <c r="K37" s="6">
        <f>+'2009'!F37</f>
        <v>0.83793062625784298</v>
      </c>
      <c r="L37" s="6">
        <f>+'2010'!F37</f>
        <v>1.3401622439158531</v>
      </c>
      <c r="M37" s="6">
        <f>+'2011'!F37</f>
        <v>1.1014250866606754</v>
      </c>
      <c r="N37" s="6">
        <f>+'2012'!F37</f>
        <v>1.4023715415019762</v>
      </c>
      <c r="O37" s="6">
        <f>+'2013'!F37</f>
        <v>1.1938669438669438</v>
      </c>
      <c r="P37" s="6">
        <f>+'2014'!F37</f>
        <v>0.68260609683203821</v>
      </c>
      <c r="Q37" s="6">
        <f>+'2015'!F37</f>
        <v>1.4190406976744185</v>
      </c>
      <c r="R37" s="6">
        <f>+'2016'!F37</f>
        <v>1.4038338658146965</v>
      </c>
      <c r="S37" s="6">
        <f>+'2017'!F37</f>
        <v>1.088079235939158</v>
      </c>
      <c r="T37" s="6">
        <f>+'2018'!F37</f>
        <v>0.85671894870707932</v>
      </c>
      <c r="U37" s="6">
        <f>+'2019'!F37</f>
        <v>0.75307765151515149</v>
      </c>
      <c r="V37" s="6">
        <f>+'2020'!F37</f>
        <v>1.1512096774193548</v>
      </c>
      <c r="W37" s="6">
        <f>+'2021'!F37</f>
        <v>1.3685991427926911</v>
      </c>
      <c r="X37" s="6">
        <f>+'2022'!G37</f>
        <v>0.96538032878239066</v>
      </c>
    </row>
    <row r="38" spans="2:24" ht="15" thickBot="1" x14ac:dyDescent="0.25">
      <c r="B38" s="5" t="s">
        <v>33</v>
      </c>
      <c r="C38" s="6">
        <f>+'2001'!F38</f>
        <v>0.88427518427518426</v>
      </c>
      <c r="D38" s="6">
        <f>+'2002'!F38</f>
        <v>0.88854101440200373</v>
      </c>
      <c r="E38" s="6">
        <f>+'2003'!F38</f>
        <v>0.78926056338028172</v>
      </c>
      <c r="F38" s="6">
        <f>+'2004'!F38</f>
        <v>0.71565686862627476</v>
      </c>
      <c r="G38" s="6">
        <f>+'2005'!F38</f>
        <v>0.93640426263320731</v>
      </c>
      <c r="H38" s="6">
        <f>+'2006'!F38</f>
        <v>0.95235241234641899</v>
      </c>
      <c r="I38" s="6">
        <f>+'2007'!F38</f>
        <v>0.87827740796087483</v>
      </c>
      <c r="J38" s="6">
        <f>+'2008'!F38</f>
        <v>0.88693467336683418</v>
      </c>
      <c r="K38" s="6">
        <f>+'2009'!F38</f>
        <v>1.1091465961297509</v>
      </c>
      <c r="L38" s="6">
        <f>+'2010'!F38</f>
        <v>1.0109730301427815</v>
      </c>
      <c r="M38" s="6">
        <f>+'2011'!F38</f>
        <v>0.95124508519003936</v>
      </c>
      <c r="N38" s="6">
        <f>+'2012'!F38</f>
        <v>1.2313569174555721</v>
      </c>
      <c r="O38" s="6">
        <f>+'2013'!F38</f>
        <v>1.7489099769171583</v>
      </c>
      <c r="P38" s="6">
        <f>+'2014'!F38</f>
        <v>1.2535358826610792</v>
      </c>
      <c r="Q38" s="6">
        <f>+'2015'!F38</f>
        <v>1.0902968321277127</v>
      </c>
      <c r="R38" s="6">
        <f>+'2016'!F38</f>
        <v>0.89185360094451005</v>
      </c>
      <c r="S38" s="6">
        <f>+'2017'!F38</f>
        <v>1.0134865134865134</v>
      </c>
      <c r="T38" s="6">
        <f>+'2018'!F38</f>
        <v>1.1909836065573771</v>
      </c>
      <c r="U38" s="6">
        <f>+'2019'!F38</f>
        <v>1.0063873275421564</v>
      </c>
      <c r="V38" s="6">
        <f>+'2020'!F38</f>
        <v>0.97329448895362947</v>
      </c>
      <c r="W38" s="6">
        <f>+'2021'!F38</f>
        <v>0.9530324688584848</v>
      </c>
      <c r="X38" s="6">
        <f>+'2022'!G38</f>
        <v>0.93223511793335834</v>
      </c>
    </row>
    <row r="39" spans="2:24" ht="15" thickBot="1" x14ac:dyDescent="0.25">
      <c r="B39" s="5" t="s">
        <v>34</v>
      </c>
      <c r="C39" s="6">
        <f>+'2001'!F39</f>
        <v>1.064888888888889</v>
      </c>
      <c r="D39" s="6">
        <f>+'2002'!F39</f>
        <v>1.0569498069498069</v>
      </c>
      <c r="E39" s="6">
        <f>+'2003'!F39</f>
        <v>1.195258019525802</v>
      </c>
      <c r="F39" s="6">
        <f>+'2004'!F39</f>
        <v>0.67204301075268813</v>
      </c>
      <c r="G39" s="6">
        <f>+'2005'!F39</f>
        <v>0.89850560398505608</v>
      </c>
      <c r="H39" s="6">
        <f>+'2006'!F39</f>
        <v>1.0302811824080751</v>
      </c>
      <c r="I39" s="6">
        <f>+'2007'!F39</f>
        <v>0.89239332096474955</v>
      </c>
      <c r="J39" s="6">
        <f>+'2008'!F39</f>
        <v>0.86592178770949724</v>
      </c>
      <c r="K39" s="6">
        <f>+'2009'!F39</f>
        <v>0.79724137931034478</v>
      </c>
      <c r="L39" s="6">
        <f>+'2010'!F39</f>
        <v>0.70983318700614573</v>
      </c>
      <c r="M39" s="6">
        <f>+'2011'!F39</f>
        <v>0.91877496671105197</v>
      </c>
      <c r="N39" s="6">
        <f>+'2012'!F39</f>
        <v>1.718936877076412</v>
      </c>
      <c r="O39" s="6">
        <f>+'2013'!F39</f>
        <v>1.4565050038491147</v>
      </c>
      <c r="P39" s="6">
        <f>+'2014'!F39</f>
        <v>1.2522432701894317</v>
      </c>
      <c r="Q39" s="6">
        <f>+'2015'!F39</f>
        <v>0.95413595413595409</v>
      </c>
      <c r="R39" s="6">
        <f>+'2016'!F39</f>
        <v>1.0951585976627713</v>
      </c>
      <c r="S39" s="6">
        <f>+'2017'!F39</f>
        <v>1.1019708654670095</v>
      </c>
      <c r="T39" s="6">
        <f>+'2018'!F39</f>
        <v>1</v>
      </c>
      <c r="U39" s="6">
        <f>+'2019'!F39</f>
        <v>0.95884773662551437</v>
      </c>
      <c r="V39" s="6">
        <f>+'2020'!F39</f>
        <v>1.1129170230966638</v>
      </c>
      <c r="W39" s="6">
        <f>+'2021'!F39</f>
        <v>1.2661290322580645</v>
      </c>
      <c r="X39" s="6">
        <f>+'2022'!G39</f>
        <v>0.89560325067722446</v>
      </c>
    </row>
    <row r="40" spans="2:24" ht="15" thickBot="1" x14ac:dyDescent="0.25">
      <c r="B40" s="5" t="s">
        <v>67</v>
      </c>
      <c r="C40" s="6">
        <f>+'2001'!F40</f>
        <v>1.1069444444444445</v>
      </c>
      <c r="D40" s="6">
        <f>+'2002'!F40</f>
        <v>0.92829204693611478</v>
      </c>
      <c r="E40" s="6">
        <f>+'2003'!F40</f>
        <v>1.1469026548672567</v>
      </c>
      <c r="F40" s="6">
        <f>+'2004'!F40</f>
        <v>0.95783132530120485</v>
      </c>
      <c r="G40" s="6">
        <f>+'2005'!F40</f>
        <v>0.91196698762035766</v>
      </c>
      <c r="H40" s="6">
        <f>+'2006'!F40</f>
        <v>0.93076049943246308</v>
      </c>
      <c r="I40" s="6">
        <f>+'2007'!F40</f>
        <v>0.94972677595628419</v>
      </c>
      <c r="J40" s="6">
        <f>+'2008'!F40</f>
        <v>0.90268456375838924</v>
      </c>
      <c r="K40" s="6">
        <f>+'2009'!F40</f>
        <v>0.94758478931140799</v>
      </c>
      <c r="L40" s="6">
        <f>+'2010'!F40</f>
        <v>0.86378737541528239</v>
      </c>
      <c r="M40" s="6">
        <f>+'2011'!F40</f>
        <v>1.0959332638164756</v>
      </c>
      <c r="N40" s="6">
        <f>+'2012'!F40</f>
        <v>1.3071718538565629</v>
      </c>
      <c r="O40" s="6">
        <f>+'2013'!F40</f>
        <v>1.2682119205298013</v>
      </c>
      <c r="P40" s="6">
        <f>+'2014'!F40</f>
        <v>0.78596087456846953</v>
      </c>
      <c r="Q40" s="6">
        <f>+'2015'!F40</f>
        <v>1.1080773606370875</v>
      </c>
      <c r="R40" s="6">
        <f>+'2016'!F40</f>
        <v>1.0043227665706052</v>
      </c>
      <c r="S40" s="6">
        <f>+'2017'!F40</f>
        <v>1.0078616352201257</v>
      </c>
      <c r="T40" s="6">
        <f>+'2018'!F40</f>
        <v>0.81280788177339902</v>
      </c>
      <c r="U40" s="6">
        <f>+'2019'!F40</f>
        <v>0.94830132939438705</v>
      </c>
      <c r="V40" s="6">
        <f>+'2020'!F40</f>
        <v>0.90256410256410258</v>
      </c>
      <c r="W40" s="6">
        <f>+'2021'!F40</f>
        <v>1.1063174114021572</v>
      </c>
      <c r="X40" s="6">
        <f>+'2022'!G40</f>
        <v>1.0219532789192232</v>
      </c>
    </row>
    <row r="41" spans="2:24" ht="15" thickBot="1" x14ac:dyDescent="0.25">
      <c r="B41" s="5" t="s">
        <v>31</v>
      </c>
      <c r="C41" s="6">
        <f>+'2001'!F41</f>
        <v>1.1058225508317929</v>
      </c>
      <c r="D41" s="6">
        <f>+'2002'!F41</f>
        <v>1.1382368283776734</v>
      </c>
      <c r="E41" s="6">
        <f>+'2003'!F41</f>
        <v>0.98056265984654734</v>
      </c>
      <c r="F41" s="6">
        <f>+'2004'!F41</f>
        <v>0.86540084388185656</v>
      </c>
      <c r="G41" s="6">
        <f>+'2005'!F41</f>
        <v>0.92607944732297065</v>
      </c>
      <c r="H41" s="6">
        <f>+'2006'!F41</f>
        <v>0.88549177963657344</v>
      </c>
      <c r="I41" s="6">
        <f>+'2007'!F41</f>
        <v>0.92189533975527205</v>
      </c>
      <c r="J41" s="6">
        <f>+'2008'!F41</f>
        <v>0.97094972067039109</v>
      </c>
      <c r="K41" s="6">
        <f>+'2009'!F41</f>
        <v>1.0567213114754099</v>
      </c>
      <c r="L41" s="6">
        <f>+'2010'!F41</f>
        <v>0.98928024502297085</v>
      </c>
      <c r="M41" s="6">
        <f>+'2011'!F41</f>
        <v>0.91359383599339572</v>
      </c>
      <c r="N41" s="6">
        <f>+'2012'!F41</f>
        <v>1.2740014015416958</v>
      </c>
      <c r="O41" s="6">
        <f>+'2013'!F41</f>
        <v>1.1420718816067654</v>
      </c>
      <c r="P41" s="6">
        <f>+'2014'!F41</f>
        <v>1.0110655737704919</v>
      </c>
      <c r="Q41" s="6">
        <f>+'2015'!F41</f>
        <v>1.0708812260536398</v>
      </c>
      <c r="R41" s="6">
        <f>+'2016'!F41</f>
        <v>1.0251813913785746</v>
      </c>
      <c r="S41" s="6">
        <f>+'2017'!F41</f>
        <v>0.88896899783705841</v>
      </c>
      <c r="T41" s="6">
        <f>+'2018'!F41</f>
        <v>0.9620499513460915</v>
      </c>
      <c r="U41" s="6">
        <f>+'2019'!F41</f>
        <v>0.84075573549257765</v>
      </c>
      <c r="V41" s="6">
        <f>+'2020'!F41</f>
        <v>0.88729219498450262</v>
      </c>
      <c r="W41" s="6">
        <f>+'2021'!F41</f>
        <v>1.3735317149569304</v>
      </c>
      <c r="X41" s="6">
        <f>+'2022'!G41</f>
        <v>0.97379789631855751</v>
      </c>
    </row>
    <row r="42" spans="2:24" ht="15" thickBot="1" x14ac:dyDescent="0.25">
      <c r="B42" s="5" t="s">
        <v>68</v>
      </c>
      <c r="C42" s="6">
        <f>+'2001'!F42</f>
        <v>1.1055276381909547</v>
      </c>
      <c r="D42" s="6">
        <f>+'2002'!F42</f>
        <v>0.97718631178707227</v>
      </c>
      <c r="E42" s="6">
        <f>+'2003'!F42</f>
        <v>0.83955223880597019</v>
      </c>
      <c r="F42" s="6">
        <f>+'2004'!F42</f>
        <v>0.93573264781491006</v>
      </c>
      <c r="G42" s="6">
        <f>+'2005'!F42</f>
        <v>0.63662790697674421</v>
      </c>
      <c r="H42" s="6">
        <f>+'2006'!F42</f>
        <v>0.57516339869281041</v>
      </c>
      <c r="I42" s="6">
        <f>+'2007'!F42</f>
        <v>0.82318271119842834</v>
      </c>
      <c r="J42" s="6">
        <f>+'2008'!F42</f>
        <v>1.2478632478632479</v>
      </c>
      <c r="K42" s="6">
        <f>+'2009'!F42</f>
        <v>0.87398843930635839</v>
      </c>
      <c r="L42" s="6">
        <f>+'2010'!F42</f>
        <v>1.2480252764612954</v>
      </c>
      <c r="M42" s="6">
        <f>+'2011'!F42</f>
        <v>1.401673640167364</v>
      </c>
      <c r="N42" s="6">
        <f>+'2012'!F42</f>
        <v>1.2204408817635271</v>
      </c>
      <c r="O42" s="6">
        <f>+'2013'!F42</f>
        <v>0.84153846153846157</v>
      </c>
      <c r="P42" s="6">
        <f>+'2014'!F42</f>
        <v>1.4721189591078068</v>
      </c>
      <c r="Q42" s="6">
        <f>+'2015'!F42</f>
        <v>1.404320987654321</v>
      </c>
      <c r="R42" s="6">
        <f>+'2016'!F42</f>
        <v>1.0823529411764705</v>
      </c>
      <c r="S42" s="6">
        <f>+'2017'!F42</f>
        <v>1.0709459459459461</v>
      </c>
      <c r="T42" s="6">
        <f>+'2018'!F42</f>
        <v>0.83862433862433861</v>
      </c>
      <c r="U42" s="6">
        <f>+'2019'!F42</f>
        <v>1.1137254901960785</v>
      </c>
      <c r="V42" s="6">
        <f>+'2020'!F42</f>
        <v>0.91003460207612452</v>
      </c>
      <c r="W42" s="6">
        <f>+'2021'!F42</f>
        <v>1.0842391304347827</v>
      </c>
      <c r="X42" s="6">
        <f>+'2022'!G42</f>
        <v>0.76017130620985007</v>
      </c>
    </row>
    <row r="43" spans="2:24" ht="15" thickBot="1" x14ac:dyDescent="0.25">
      <c r="B43" s="5" t="s">
        <v>69</v>
      </c>
      <c r="C43" s="6">
        <f>+'2001'!F43</f>
        <v>0.98480371464753058</v>
      </c>
      <c r="D43" s="6">
        <f>+'2002'!F43</f>
        <v>0.89187866927592951</v>
      </c>
      <c r="E43" s="6">
        <f>+'2003'!F43</f>
        <v>0.93612774451097802</v>
      </c>
      <c r="F43" s="6">
        <f>+'2004'!F43</f>
        <v>0.60116851168511687</v>
      </c>
      <c r="G43" s="6">
        <f>+'2005'!F43</f>
        <v>0.85044313146233386</v>
      </c>
      <c r="H43" s="6">
        <f>+'2006'!F43</f>
        <v>0.70152375261428146</v>
      </c>
      <c r="I43" s="6">
        <f>+'2007'!F43</f>
        <v>1.3753157704799712</v>
      </c>
      <c r="J43" s="6">
        <f>+'2008'!F43</f>
        <v>1.3965684687601165</v>
      </c>
      <c r="K43" s="6">
        <f>+'2009'!F43</f>
        <v>1.0040453074433657</v>
      </c>
      <c r="L43" s="6">
        <f>+'2010'!F43</f>
        <v>1.0136195752539243</v>
      </c>
      <c r="M43" s="6">
        <f>+'2011'!F43</f>
        <v>1</v>
      </c>
      <c r="N43" s="6">
        <f>+'2012'!F43</f>
        <v>1.1189986282578874</v>
      </c>
      <c r="O43" s="6">
        <f>+'2013'!F43</f>
        <v>1.1347611202635914</v>
      </c>
      <c r="P43" s="6">
        <f>+'2014'!F43</f>
        <v>1.2839186691312385</v>
      </c>
      <c r="Q43" s="6">
        <f>+'2015'!F43</f>
        <v>1.2787965616045844</v>
      </c>
      <c r="R43" s="6">
        <f>+'2016'!F43</f>
        <v>1.3088697017268447</v>
      </c>
      <c r="S43" s="6">
        <f>+'2017'!F43</f>
        <v>1.3654085441725425</v>
      </c>
      <c r="T43" s="6">
        <f>+'2018'!F43</f>
        <v>1.2450871338524285</v>
      </c>
      <c r="U43" s="6">
        <f>+'2019'!F43</f>
        <v>1.1561151079136691</v>
      </c>
      <c r="V43" s="6">
        <f>+'2020'!F43</f>
        <v>0.97001499250374812</v>
      </c>
      <c r="W43" s="6">
        <f>+'2021'!F43</f>
        <v>0.91898815241754728</v>
      </c>
      <c r="X43" s="6">
        <f>+'2022'!G43</f>
        <v>1.0075243163883281</v>
      </c>
    </row>
    <row r="44" spans="2:24" ht="15" thickBot="1" x14ac:dyDescent="0.25">
      <c r="B44" s="5" t="s">
        <v>70</v>
      </c>
      <c r="C44" s="6">
        <f>+'2001'!F44</f>
        <v>1.0205819730305181</v>
      </c>
      <c r="D44" s="6">
        <f>+'2002'!F44</f>
        <v>0.8933405522468868</v>
      </c>
      <c r="E44" s="6">
        <f>+'2003'!F44</f>
        <v>1.0175541252194267</v>
      </c>
      <c r="F44" s="6">
        <f>+'2004'!F44</f>
        <v>1.0503318584070795</v>
      </c>
      <c r="G44" s="6">
        <f>+'2005'!F44</f>
        <v>0.9002570694087404</v>
      </c>
      <c r="H44" s="6">
        <f>+'2006'!F44</f>
        <v>1.0041938490214353</v>
      </c>
      <c r="I44" s="6">
        <f>+'2007'!F44</f>
        <v>0.93538974572738642</v>
      </c>
      <c r="J44" s="6">
        <f>+'2008'!F44</f>
        <v>1.048820852296235</v>
      </c>
      <c r="K44" s="6">
        <f>+'2009'!F44</f>
        <v>0.91055662188099806</v>
      </c>
      <c r="L44" s="6">
        <f>+'2010'!F44</f>
        <v>0.93267402054012938</v>
      </c>
      <c r="M44" s="6">
        <f>+'2011'!F44</f>
        <v>1.0372199012533232</v>
      </c>
      <c r="N44" s="6">
        <f>+'2012'!F44</f>
        <v>1.0649237472766884</v>
      </c>
      <c r="O44" s="6">
        <f>+'2013'!F44</f>
        <v>1.2022922636103153</v>
      </c>
      <c r="P44" s="6">
        <f>+'2014'!F44</f>
        <v>0.94902261402836341</v>
      </c>
      <c r="Q44" s="6">
        <f>+'2015'!F44</f>
        <v>1.0953846153846154</v>
      </c>
      <c r="R44" s="6">
        <f>+'2016'!F44</f>
        <v>1.2103433289873968</v>
      </c>
      <c r="S44" s="6">
        <f>+'2017'!F44</f>
        <v>1.1006381934216987</v>
      </c>
      <c r="T44" s="6">
        <f>+'2018'!F44</f>
        <v>0.80880448856279674</v>
      </c>
      <c r="U44" s="6">
        <f>+'2019'!F44</f>
        <v>1.1178743961352657</v>
      </c>
      <c r="V44" s="6">
        <f>+'2020'!F44</f>
        <v>1.0201758923952406</v>
      </c>
      <c r="W44" s="6">
        <f>+'2021'!F44</f>
        <v>0.98239110287303055</v>
      </c>
      <c r="X44" s="6">
        <f>+'2022'!G44</f>
        <v>0.98525963149078732</v>
      </c>
    </row>
    <row r="45" spans="2:24" ht="15" thickBot="1" x14ac:dyDescent="0.25">
      <c r="B45" s="5" t="s">
        <v>71</v>
      </c>
      <c r="C45" s="6">
        <f>+'2001'!F45</f>
        <v>1.0795660036166366</v>
      </c>
      <c r="D45" s="6">
        <f>+'2002'!F45</f>
        <v>1.010752688172043</v>
      </c>
      <c r="E45" s="6">
        <f>+'2003'!F45</f>
        <v>0.96181046676096182</v>
      </c>
      <c r="F45" s="6">
        <f>+'2004'!F45</f>
        <v>0.92640692640692646</v>
      </c>
      <c r="G45" s="6">
        <f>+'2005'!F45</f>
        <v>0.5882852292020373</v>
      </c>
      <c r="H45" s="6">
        <f>+'2006'!F45</f>
        <v>0.96078431372549022</v>
      </c>
      <c r="I45" s="6">
        <f>+'2007'!F45</f>
        <v>0.9958932238193019</v>
      </c>
      <c r="J45" s="6">
        <f>+'2008'!F45</f>
        <v>0.88826815642458101</v>
      </c>
      <c r="K45" s="6">
        <f>+'2009'!F45</f>
        <v>1.0411483253588516</v>
      </c>
      <c r="L45" s="6">
        <f>+'2010'!F45</f>
        <v>0.7573333333333333</v>
      </c>
      <c r="M45" s="6">
        <f>+'2011'!F45</f>
        <v>1.0559380378657488</v>
      </c>
      <c r="N45" s="6">
        <f>+'2012'!F45</f>
        <v>1.1596916299559472</v>
      </c>
      <c r="O45" s="6">
        <f>+'2013'!F45</f>
        <v>1.2720403022670026</v>
      </c>
      <c r="P45" s="6">
        <f>+'2014'!F45</f>
        <v>1.1000000000000001</v>
      </c>
      <c r="Q45" s="6">
        <f>+'2015'!F45</f>
        <v>1.0954653937947494</v>
      </c>
      <c r="R45" s="6">
        <f>+'2016'!F45</f>
        <v>1.5929203539823009</v>
      </c>
      <c r="S45" s="6">
        <f>+'2017'!F45</f>
        <v>1.3358070500927643</v>
      </c>
      <c r="T45" s="6">
        <f>+'2018'!F45</f>
        <v>0.87664041994750652</v>
      </c>
      <c r="U45" s="6">
        <f>+'2019'!F45</f>
        <v>1.0183276059564719</v>
      </c>
      <c r="V45" s="6">
        <f>+'2020'!F45</f>
        <v>1.1877256317689531</v>
      </c>
      <c r="W45" s="6">
        <f>+'2021'!F45</f>
        <v>0.99370277078085645</v>
      </c>
      <c r="X45" s="6">
        <f>+'2022'!G45</f>
        <v>0.91678975873953716</v>
      </c>
    </row>
    <row r="46" spans="2:24" ht="15" thickBot="1" x14ac:dyDescent="0.25">
      <c r="B46" s="5" t="s">
        <v>72</v>
      </c>
      <c r="C46" s="6">
        <f>+'2001'!F46</f>
        <v>0.99112426035502954</v>
      </c>
      <c r="D46" s="6">
        <f>+'2002'!F46</f>
        <v>1.0692243536280233</v>
      </c>
      <c r="E46" s="6">
        <f>+'2003'!F46</f>
        <v>0.92411014103425115</v>
      </c>
      <c r="F46" s="6">
        <f>+'2004'!F46</f>
        <v>0.68</v>
      </c>
      <c r="G46" s="6">
        <f>+'2005'!F46</f>
        <v>0.81127197518097205</v>
      </c>
      <c r="H46" s="6">
        <f>+'2006'!F46</f>
        <v>1.0635551142005959</v>
      </c>
      <c r="I46" s="6">
        <f>+'2007'!F46</f>
        <v>0.625</v>
      </c>
      <c r="J46" s="6">
        <f>+'2008'!F46</f>
        <v>1.0913770913770913</v>
      </c>
      <c r="K46" s="6">
        <f>+'2009'!F46</f>
        <v>0.93711790393013106</v>
      </c>
      <c r="L46" s="6">
        <f>+'2010'!F46</f>
        <v>1.0747967479674796</v>
      </c>
      <c r="M46" s="6">
        <f>+'2011'!F46</f>
        <v>1.0678840809845176</v>
      </c>
      <c r="N46" s="6">
        <f>+'2012'!F46</f>
        <v>1.3363463368220743</v>
      </c>
      <c r="O46" s="6">
        <f>+'2013'!F46</f>
        <v>1.1612200435729847</v>
      </c>
      <c r="P46" s="6">
        <f>+'2014'!F46</f>
        <v>1.2679528403001072</v>
      </c>
      <c r="Q46" s="6">
        <f>+'2015'!F46</f>
        <v>1.0436802973977695</v>
      </c>
      <c r="R46" s="6">
        <f>+'2016'!F46</f>
        <v>1.1560130010834235</v>
      </c>
      <c r="S46" s="6">
        <f>+'2017'!F46</f>
        <v>0.86296823138928402</v>
      </c>
      <c r="T46" s="6">
        <f>+'2018'!F46</f>
        <v>0.83595691797845895</v>
      </c>
      <c r="U46" s="6">
        <f>+'2019'!F46</f>
        <v>0.90941898231685314</v>
      </c>
      <c r="V46" s="6">
        <f>+'2020'!F46</f>
        <v>0.7994031830238727</v>
      </c>
      <c r="W46" s="6">
        <f>+'2021'!F46</f>
        <v>0.93022722056460871</v>
      </c>
      <c r="X46" s="6">
        <f>+'2022'!G46</f>
        <v>1.0432143224611585</v>
      </c>
    </row>
    <row r="47" spans="2:24" ht="15" thickBot="1" x14ac:dyDescent="0.25">
      <c r="B47" s="5" t="s">
        <v>5</v>
      </c>
      <c r="C47" s="6">
        <f>+'2001'!F47</f>
        <v>1</v>
      </c>
      <c r="D47" s="6">
        <f>+'2002'!F47</f>
        <v>1.044750430292599</v>
      </c>
      <c r="E47" s="6">
        <f>+'2003'!F47</f>
        <v>1.0980392156862746</v>
      </c>
      <c r="F47" s="6">
        <f>+'2004'!F47</f>
        <v>0.83798882681564246</v>
      </c>
      <c r="G47" s="6">
        <f>+'2005'!F47</f>
        <v>0.84509569377990434</v>
      </c>
      <c r="H47" s="6">
        <f>+'2006'!F47</f>
        <v>1.062376887721602</v>
      </c>
      <c r="I47" s="6">
        <f>+'2007'!F47</f>
        <v>0.7902702702702703</v>
      </c>
      <c r="J47" s="6">
        <f>+'2008'!F47</f>
        <v>0.84407484407484412</v>
      </c>
      <c r="K47" s="6">
        <f>+'2009'!F47</f>
        <v>0.82936668011294878</v>
      </c>
      <c r="L47" s="6">
        <f>+'2010'!F47</f>
        <v>0.99604156358238494</v>
      </c>
      <c r="M47" s="6">
        <f>+'2011'!F47</f>
        <v>0.96113223489649346</v>
      </c>
      <c r="N47" s="6">
        <f>+'2012'!F47</f>
        <v>1.5862304021813225</v>
      </c>
      <c r="O47" s="6">
        <f>+'2013'!F47</f>
        <v>1.2930310663308144</v>
      </c>
      <c r="P47" s="6">
        <f>+'2014'!F47</f>
        <v>1.010551948051948</v>
      </c>
      <c r="Q47" s="6">
        <f>+'2015'!F47</f>
        <v>1.1074043938161107</v>
      </c>
      <c r="R47" s="6">
        <f>+'2016'!F47</f>
        <v>1.0090744101633393</v>
      </c>
      <c r="S47" s="6">
        <f>+'2017'!F47</f>
        <v>1.058139534883721</v>
      </c>
      <c r="T47" s="6">
        <f>+'2018'!F47</f>
        <v>1.0033472803347281</v>
      </c>
      <c r="U47" s="6">
        <f>+'2019'!F47</f>
        <v>1.0181818181818181</v>
      </c>
      <c r="V47" s="6">
        <f>+'2020'!F47</f>
        <v>0.97763280521901208</v>
      </c>
      <c r="W47" s="6">
        <f>+'2021'!F47</f>
        <v>0.8833333333333333</v>
      </c>
      <c r="X47" s="6">
        <f>+'2022'!G47</f>
        <v>1.0025169409486931</v>
      </c>
    </row>
    <row r="48" spans="2:24" ht="15" thickBot="1" x14ac:dyDescent="0.25">
      <c r="B48" s="5" t="s">
        <v>73</v>
      </c>
      <c r="C48" s="6">
        <f>+'2001'!F48</f>
        <v>0.94594594594594594</v>
      </c>
      <c r="D48" s="6">
        <f>+'2002'!F48</f>
        <v>1.2136563876651982</v>
      </c>
      <c r="E48" s="6">
        <f>+'2003'!F48</f>
        <v>1.0326530612244897</v>
      </c>
      <c r="F48" s="6">
        <f>+'2004'!F48</f>
        <v>1.0112359550561798</v>
      </c>
      <c r="G48" s="6">
        <f>+'2005'!F48</f>
        <v>0.90878378378378377</v>
      </c>
      <c r="H48" s="6">
        <f>+'2006'!F48</f>
        <v>0.90463215258855589</v>
      </c>
      <c r="I48" s="6">
        <f>+'2007'!F48</f>
        <v>0.89749999999999996</v>
      </c>
      <c r="J48" s="6">
        <f>+'2008'!F48</f>
        <v>0.71230158730158732</v>
      </c>
      <c r="K48" s="6">
        <f>+'2009'!F48</f>
        <v>0.99599198396793587</v>
      </c>
      <c r="L48" s="6">
        <f>+'2010'!F48</f>
        <v>0.94925373134328361</v>
      </c>
      <c r="M48" s="6">
        <f>+'2011'!F48</f>
        <v>1.2818003913894325</v>
      </c>
      <c r="N48" s="6">
        <f>+'2012'!F48</f>
        <v>1.2661870503597121</v>
      </c>
      <c r="O48" s="6">
        <f>+'2013'!F48</f>
        <v>1.0271604938271606</v>
      </c>
      <c r="P48" s="6">
        <f>+'2014'!F48</f>
        <v>0.90839694656488545</v>
      </c>
      <c r="Q48" s="6">
        <f>+'2015'!F48</f>
        <v>1.0720221606648199</v>
      </c>
      <c r="R48" s="6">
        <f>+'2016'!F48</f>
        <v>1.0492753623188407</v>
      </c>
      <c r="S48" s="6">
        <f>+'2017'!F48</f>
        <v>0.8666666666666667</v>
      </c>
      <c r="T48" s="6">
        <f>+'2018'!F48</f>
        <v>0.94011976047904189</v>
      </c>
      <c r="U48" s="6">
        <f>+'2019'!F48</f>
        <v>1.0916905444126075</v>
      </c>
      <c r="V48" s="6">
        <f>+'2020'!F48</f>
        <v>1.0714285714285714</v>
      </c>
      <c r="W48" s="6">
        <f>+'2021'!F48</f>
        <v>0.84969325153374231</v>
      </c>
      <c r="X48" s="6">
        <f>+'2022'!G48</f>
        <v>1.1930164888457808</v>
      </c>
    </row>
    <row r="49" spans="2:24" ht="15" thickBot="1" x14ac:dyDescent="0.25">
      <c r="B49" s="5" t="s">
        <v>74</v>
      </c>
      <c r="C49" s="6">
        <f>+'2001'!F49</f>
        <v>1.0720823798627002</v>
      </c>
      <c r="D49" s="6">
        <f>+'2002'!F49</f>
        <v>1.0820350535540408</v>
      </c>
      <c r="E49" s="6">
        <f>+'2003'!F49</f>
        <v>0.96829477292202226</v>
      </c>
      <c r="F49" s="6">
        <f>+'2004'!F49</f>
        <v>0.8602964364553769</v>
      </c>
      <c r="G49" s="6">
        <f>+'2005'!F49</f>
        <v>0.85783600194080545</v>
      </c>
      <c r="H49" s="6">
        <f>+'2006'!F49</f>
        <v>0.50487106017191974</v>
      </c>
      <c r="I49" s="6">
        <f>+'2007'!F49</f>
        <v>1.0963500159387951</v>
      </c>
      <c r="J49" s="6">
        <f>+'2008'!F49</f>
        <v>0.96591586223334525</v>
      </c>
      <c r="K49" s="6">
        <f>+'2009'!F49</f>
        <v>0.8250705360741637</v>
      </c>
      <c r="L49" s="6">
        <f>+'2010'!F49</f>
        <v>0.90122783083219649</v>
      </c>
      <c r="M49" s="6">
        <f>+'2011'!F49</f>
        <v>1.0243281471004244</v>
      </c>
      <c r="N49" s="6">
        <f>+'2012'!F49</f>
        <v>1.4117187499999999</v>
      </c>
      <c r="O49" s="6">
        <f>+'2013'!F49</f>
        <v>1.3095500966050235</v>
      </c>
      <c r="P49" s="6">
        <f>+'2014'!F49</f>
        <v>0.84408656265727222</v>
      </c>
      <c r="Q49" s="6">
        <f>+'2015'!F49</f>
        <v>1.2157987126974839</v>
      </c>
      <c r="R49" s="6">
        <f>+'2016'!F49</f>
        <v>1.0988671472708549</v>
      </c>
      <c r="S49" s="6">
        <f>+'2017'!F49</f>
        <v>1.5384864689677524</v>
      </c>
      <c r="T49" s="6">
        <f>+'2018'!F49</f>
        <v>1.236524247340905</v>
      </c>
      <c r="U49" s="6">
        <f>+'2019'!F49</f>
        <v>1.1650076569678407</v>
      </c>
      <c r="V49" s="6">
        <f>+'2020'!F49</f>
        <v>0.98177826564215143</v>
      </c>
      <c r="W49" s="6">
        <f>+'2021'!F49</f>
        <v>1.0281221091581869</v>
      </c>
      <c r="X49" s="6">
        <f>+'2022'!G49</f>
        <v>0.99067471201316515</v>
      </c>
    </row>
    <row r="50" spans="2:24" ht="15" thickBot="1" x14ac:dyDescent="0.25">
      <c r="B50" s="5" t="s">
        <v>75</v>
      </c>
      <c r="C50" s="6">
        <f>+'2001'!F50</f>
        <v>1.1707317073170731</v>
      </c>
      <c r="D50" s="6">
        <f>+'2002'!F50</f>
        <v>0.78125</v>
      </c>
      <c r="E50" s="6">
        <f>+'2003'!F50</f>
        <v>0.63779527559055116</v>
      </c>
      <c r="F50" s="6">
        <f>+'2004'!F50</f>
        <v>0.7351778656126482</v>
      </c>
      <c r="G50" s="6">
        <f>+'2005'!F50</f>
        <v>1.2555555555555555</v>
      </c>
      <c r="H50" s="6">
        <f>+'2006'!F50</f>
        <v>0.91056910569105687</v>
      </c>
      <c r="I50" s="6">
        <f>+'2007'!F50</f>
        <v>0.82846715328467158</v>
      </c>
      <c r="J50" s="6">
        <f>+'2008'!F50</f>
        <v>0.69873417721518982</v>
      </c>
      <c r="K50" s="6">
        <f>+'2009'!F50</f>
        <v>1.3585526315789473</v>
      </c>
      <c r="L50" s="6">
        <f>+'2010'!F50</f>
        <v>0.87947269303201503</v>
      </c>
      <c r="M50" s="6">
        <f>+'2011'!F50</f>
        <v>0.88998357963875208</v>
      </c>
      <c r="N50" s="6">
        <f>+'2012'!F50</f>
        <v>0.88224637681159424</v>
      </c>
      <c r="O50" s="6">
        <f>+'2013'!F50</f>
        <v>0.85767790262172283</v>
      </c>
      <c r="P50" s="6">
        <f>+'2014'!F50</f>
        <v>1.2956730769230769</v>
      </c>
      <c r="Q50" s="6">
        <f>+'2015'!F50</f>
        <v>1.8105263157894738</v>
      </c>
      <c r="R50" s="6">
        <f>+'2016'!F50</f>
        <v>1.1893203883495145</v>
      </c>
      <c r="S50" s="6">
        <f>+'2017'!F50</f>
        <v>1.0641025641025641</v>
      </c>
      <c r="T50" s="6">
        <f>+'2018'!F50</f>
        <v>0.82485875706214684</v>
      </c>
      <c r="U50" s="6">
        <f>+'2019'!F50</f>
        <v>0.46408839779005523</v>
      </c>
      <c r="V50" s="6">
        <f>+'2020'!F50</f>
        <v>0.81560283687943258</v>
      </c>
      <c r="W50" s="6">
        <f>+'2021'!F50</f>
        <v>1.6299559471365639</v>
      </c>
      <c r="X50" s="6">
        <f>+'2022'!G50</f>
        <v>1.0452674897119341</v>
      </c>
    </row>
    <row r="51" spans="2:24" ht="15" thickBot="1" x14ac:dyDescent="0.25">
      <c r="B51" s="5" t="s">
        <v>76</v>
      </c>
      <c r="C51" s="6">
        <f>+'2001'!F51</f>
        <v>0.92318634423897583</v>
      </c>
      <c r="D51" s="6">
        <f>+'2002'!F51</f>
        <v>1.1022304832713754</v>
      </c>
      <c r="E51" s="6">
        <f>+'2003'!F51</f>
        <v>1.0496688741721854</v>
      </c>
      <c r="F51" s="6">
        <f>+'2004'!F51</f>
        <v>0.8044692737430168</v>
      </c>
      <c r="G51" s="6">
        <f>+'2005'!F51</f>
        <v>0.97600872410032713</v>
      </c>
      <c r="H51" s="6">
        <f>+'2006'!F51</f>
        <v>0.98619329388560162</v>
      </c>
      <c r="I51" s="6">
        <f>+'2007'!F51</f>
        <v>0.91581868640148012</v>
      </c>
      <c r="J51" s="6">
        <f>+'2008'!F51</f>
        <v>0.95051060487038497</v>
      </c>
      <c r="K51" s="6">
        <f>+'2009'!F51</f>
        <v>0.8693140794223827</v>
      </c>
      <c r="L51" s="6">
        <f>+'2010'!F51</f>
        <v>0.95123674911660783</v>
      </c>
      <c r="M51" s="6">
        <f>+'2011'!F51</f>
        <v>0.97696879643387813</v>
      </c>
      <c r="N51" s="6">
        <f>+'2012'!F51</f>
        <v>0.99718706047819972</v>
      </c>
      <c r="O51" s="6">
        <f>+'2013'!F51</f>
        <v>1.1490384615384615</v>
      </c>
      <c r="P51" s="6">
        <f>+'2014'!F51</f>
        <v>1.0725022104332449</v>
      </c>
      <c r="Q51" s="6">
        <f>+'2015'!F51</f>
        <v>1.2446183953033267</v>
      </c>
      <c r="R51" s="6">
        <f>+'2016'!F51</f>
        <v>0.94809688581314877</v>
      </c>
      <c r="S51" s="6">
        <f>+'2017'!F51</f>
        <v>0.93458870168483643</v>
      </c>
      <c r="T51" s="6">
        <f>+'2018'!F51</f>
        <v>0.95282051282051283</v>
      </c>
      <c r="U51" s="6">
        <f>+'2019'!F51</f>
        <v>0.99264705882352944</v>
      </c>
      <c r="V51" s="6">
        <f>+'2020'!F51</f>
        <v>1.1242603550295858</v>
      </c>
      <c r="W51" s="6">
        <f>+'2021'!F51</f>
        <v>1.0027829313543599</v>
      </c>
      <c r="X51" s="6">
        <f>+'2022'!G51</f>
        <v>0.89328207944352922</v>
      </c>
    </row>
    <row r="52" spans="2:24" ht="15" thickBot="1" x14ac:dyDescent="0.25">
      <c r="B52" s="5" t="s">
        <v>77</v>
      </c>
      <c r="C52" s="6">
        <f>+'2001'!F52</f>
        <v>1.1518987341772151</v>
      </c>
      <c r="D52" s="6">
        <f>+'2002'!F52</f>
        <v>1.139344262295082</v>
      </c>
      <c r="E52" s="6">
        <f>+'2003'!F52</f>
        <v>0.85561497326203206</v>
      </c>
      <c r="F52" s="6">
        <f>+'2004'!F52</f>
        <v>0.91414141414141414</v>
      </c>
      <c r="G52" s="6">
        <f>+'2005'!F52</f>
        <v>0.77586206896551724</v>
      </c>
      <c r="H52" s="6">
        <f>+'2006'!F52</f>
        <v>1.2642487046632125</v>
      </c>
      <c r="I52" s="6">
        <f>+'2007'!F52</f>
        <v>0.93333333333333335</v>
      </c>
      <c r="J52" s="6">
        <f>+'2008'!F52</f>
        <v>0.96850393700787396</v>
      </c>
      <c r="K52" s="6">
        <f>+'2009'!F52</f>
        <v>1.0669456066945606</v>
      </c>
      <c r="L52" s="6">
        <f>+'2010'!F52</f>
        <v>1.0418410041841004</v>
      </c>
      <c r="M52" s="6">
        <f>+'2011'!F52</f>
        <v>0.98634812286689422</v>
      </c>
      <c r="N52" s="6">
        <f>+'2012'!F52</f>
        <v>1.0402930402930404</v>
      </c>
      <c r="O52" s="6">
        <f>+'2013'!F52</f>
        <v>1.1323529411764706</v>
      </c>
      <c r="P52" s="6">
        <f>+'2014'!F52</f>
        <v>0.95569620253164556</v>
      </c>
      <c r="Q52" s="6">
        <f>+'2015'!F52</f>
        <v>0.94230769230769229</v>
      </c>
      <c r="R52" s="6">
        <f>+'2016'!F52</f>
        <v>0.89552238805970152</v>
      </c>
      <c r="S52" s="6">
        <f>+'2017'!F52</f>
        <v>0.90306122448979587</v>
      </c>
      <c r="T52" s="6">
        <f>+'2018'!F52</f>
        <v>0.76143790849673199</v>
      </c>
      <c r="U52" s="6">
        <f>+'2019'!F52</f>
        <v>0.73317307692307687</v>
      </c>
      <c r="V52" s="6">
        <f>+'2020'!F52</f>
        <v>1.6712328767123288</v>
      </c>
      <c r="W52" s="6">
        <f>+'2021'!F52</f>
        <v>1.2383419689119171</v>
      </c>
      <c r="X52" s="6">
        <f>+'2022'!G52</f>
        <v>1.0421348314606742</v>
      </c>
    </row>
    <row r="53" spans="2:24" ht="15" thickBot="1" x14ac:dyDescent="0.25">
      <c r="B53" s="5" t="s">
        <v>78</v>
      </c>
      <c r="C53" s="6">
        <f>+'2001'!F53</f>
        <v>0.76220614828209765</v>
      </c>
      <c r="D53" s="6">
        <f>+'2002'!F53</f>
        <v>0.80203515263644776</v>
      </c>
      <c r="E53" s="6">
        <f>+'2003'!F53</f>
        <v>1.0856844305120168</v>
      </c>
      <c r="F53" s="6">
        <f>+'2004'!F53</f>
        <v>0.92685370741482964</v>
      </c>
      <c r="G53" s="6">
        <f>+'2005'!F53</f>
        <v>0.80019029495718363</v>
      </c>
      <c r="H53" s="6">
        <f>+'2006'!F53</f>
        <v>0.72077922077922074</v>
      </c>
      <c r="I53" s="6">
        <f>+'2007'!F53</f>
        <v>0.68262548262548262</v>
      </c>
      <c r="J53" s="6">
        <f>+'2008'!F53</f>
        <v>0.49896480331262938</v>
      </c>
      <c r="K53" s="6">
        <f>+'2009'!F53</f>
        <v>0.77065217391304353</v>
      </c>
      <c r="L53" s="6">
        <f>+'2010'!F53</f>
        <v>0.9424805272618334</v>
      </c>
      <c r="M53" s="6">
        <f>+'2011'!F53</f>
        <v>0.90010460251046021</v>
      </c>
      <c r="N53" s="6">
        <f>+'2012'!F53</f>
        <v>1.1780038143674507</v>
      </c>
      <c r="O53" s="6">
        <f>+'2013'!F53</f>
        <v>1.2921174652241112</v>
      </c>
      <c r="P53" s="6">
        <f>+'2014'!F53</f>
        <v>1.297583081570997</v>
      </c>
      <c r="Q53" s="6">
        <f>+'2015'!F53</f>
        <v>1.3218943033630748</v>
      </c>
      <c r="R53" s="6">
        <f>+'2016'!F53</f>
        <v>1.2269203664552502</v>
      </c>
      <c r="S53" s="6">
        <f>+'2017'!F53</f>
        <v>1.0939104915627293</v>
      </c>
      <c r="T53" s="6">
        <f>+'2018'!F53</f>
        <v>1.0163826998689385</v>
      </c>
      <c r="U53" s="6">
        <f>+'2019'!F53</f>
        <v>0.81212524983344436</v>
      </c>
      <c r="V53" s="6">
        <f>+'2020'!F53</f>
        <v>1.1806208842897461</v>
      </c>
      <c r="W53" s="6">
        <f>+'2021'!F53</f>
        <v>1.1016666666666666</v>
      </c>
      <c r="X53" s="6">
        <f>+'2022'!G53</f>
        <v>1.1208619612742037</v>
      </c>
    </row>
    <row r="54" spans="2:24" ht="15" thickBot="1" x14ac:dyDescent="0.25">
      <c r="B54" s="5" t="s">
        <v>79</v>
      </c>
      <c r="C54" s="6">
        <f>+'2001'!F54</f>
        <v>1.0075703808847882</v>
      </c>
      <c r="D54" s="6">
        <f>+'2002'!F54</f>
        <v>0.9987611496531219</v>
      </c>
      <c r="E54" s="6">
        <f>+'2003'!F54</f>
        <v>0.98980044345897999</v>
      </c>
      <c r="F54" s="6">
        <f>+'2004'!F54</f>
        <v>0.8073012168694782</v>
      </c>
      <c r="G54" s="6">
        <f>+'2005'!F54</f>
        <v>0.83302721656370016</v>
      </c>
      <c r="H54" s="6">
        <f>+'2006'!F54</f>
        <v>0.65953545232273836</v>
      </c>
      <c r="I54" s="6">
        <f>+'2007'!F54</f>
        <v>0.80978017048003592</v>
      </c>
      <c r="J54" s="6">
        <f>+'2008'!F54</f>
        <v>1.1004622843612584</v>
      </c>
      <c r="K54" s="6">
        <f>+'2009'!F54</f>
        <v>0.93182225407633046</v>
      </c>
      <c r="L54" s="6">
        <f>+'2010'!F54</f>
        <v>1.1952255715152742</v>
      </c>
      <c r="M54" s="6">
        <f>+'2011'!F54</f>
        <v>1.0630236794171219</v>
      </c>
      <c r="N54" s="6">
        <f>+'2012'!F54</f>
        <v>1.1213811821471653</v>
      </c>
      <c r="O54" s="6">
        <f>+'2013'!F54</f>
        <v>1.2454962910632286</v>
      </c>
      <c r="P54" s="6">
        <f>+'2014'!F54</f>
        <v>1.2051139521956642</v>
      </c>
      <c r="Q54" s="6">
        <f>+'2015'!F54</f>
        <v>1.0709666439754935</v>
      </c>
      <c r="R54" s="6">
        <f>+'2016'!F54</f>
        <v>1.070383404334136</v>
      </c>
      <c r="S54" s="6">
        <f>+'2017'!F54</f>
        <v>0.80839141724750585</v>
      </c>
      <c r="T54" s="6">
        <f>+'2018'!F54</f>
        <v>0.97474935016709985</v>
      </c>
      <c r="U54" s="6">
        <f>+'2019'!F54</f>
        <v>1.3019094872951436</v>
      </c>
      <c r="V54" s="6">
        <f>+'2020'!F54</f>
        <v>1.1901126169116243</v>
      </c>
      <c r="W54" s="6">
        <f>+'2021'!F54</f>
        <v>1.1367405978784957</v>
      </c>
      <c r="X54" s="6">
        <f>+'2022'!G54</f>
        <v>0.89452383331667829</v>
      </c>
    </row>
    <row r="55" spans="2:24" ht="15" thickBot="1" x14ac:dyDescent="0.25">
      <c r="B55" s="5" t="s">
        <v>80</v>
      </c>
      <c r="C55" s="6">
        <f>+'2001'!F55</f>
        <v>1.0241779497098646</v>
      </c>
      <c r="D55" s="6">
        <f>+'2002'!F55</f>
        <v>1.2229232386961093</v>
      </c>
      <c r="E55" s="6">
        <f>+'2003'!F55</f>
        <v>1.0021621621621621</v>
      </c>
      <c r="F55" s="6">
        <f>+'2004'!F55</f>
        <v>0.95519125683060113</v>
      </c>
      <c r="G55" s="6">
        <f>+'2005'!F55</f>
        <v>0.90514905149051494</v>
      </c>
      <c r="H55" s="6">
        <f>+'2006'!F55</f>
        <v>0.78144564598747868</v>
      </c>
      <c r="I55" s="6">
        <f>+'2007'!F55</f>
        <v>0.98709677419354835</v>
      </c>
      <c r="J55" s="6">
        <f>+'2008'!F55</f>
        <v>0.56995515695067267</v>
      </c>
      <c r="K55" s="6">
        <f>+'2009'!F55</f>
        <v>0.79166666666666663</v>
      </c>
      <c r="L55" s="6">
        <f>+'2010'!F55</f>
        <v>0.77098511244852708</v>
      </c>
      <c r="M55" s="6">
        <f>+'2011'!F55</f>
        <v>1.3660100778744846</v>
      </c>
      <c r="N55" s="6">
        <f>+'2012'!F55</f>
        <v>1.6691588785046729</v>
      </c>
      <c r="O55" s="6">
        <f>+'2013'!F55</f>
        <v>1.3143393863494051</v>
      </c>
      <c r="P55" s="6">
        <f>+'2014'!F55</f>
        <v>1.220808383233533</v>
      </c>
      <c r="Q55" s="6">
        <f>+'2015'!F55</f>
        <v>1.1195312500000001</v>
      </c>
      <c r="R55" s="6">
        <f>+'2016'!F55</f>
        <v>1.2282051282051283</v>
      </c>
      <c r="S55" s="6">
        <f>+'2017'!F55</f>
        <v>1.048462255358807</v>
      </c>
      <c r="T55" s="6">
        <f>+'2018'!F55</f>
        <v>0.95652173913043481</v>
      </c>
      <c r="U55" s="6">
        <f>+'2019'!F55</f>
        <v>0.81470588235294117</v>
      </c>
      <c r="V55" s="6">
        <f>+'2020'!F55</f>
        <v>1.0985010706638116</v>
      </c>
      <c r="W55" s="6">
        <f>+'2021'!F55</f>
        <v>1.1061320754716981</v>
      </c>
      <c r="X55" s="6">
        <f>+'2022'!G55</f>
        <v>0.99388586956521741</v>
      </c>
    </row>
    <row r="56" spans="2:24" ht="15" thickBot="1" x14ac:dyDescent="0.25">
      <c r="B56" s="5" t="s">
        <v>81</v>
      </c>
      <c r="C56" s="6">
        <f>+'2001'!F56</f>
        <v>0.97619047619047616</v>
      </c>
      <c r="D56" s="6">
        <f>+'2002'!F56</f>
        <v>1.1167929292929293</v>
      </c>
      <c r="E56" s="6">
        <f>+'2003'!F56</f>
        <v>0.99234693877551017</v>
      </c>
      <c r="F56" s="6">
        <f>+'2004'!F56</f>
        <v>0.83990719257540603</v>
      </c>
      <c r="G56" s="6">
        <f>+'2005'!F56</f>
        <v>0.79409479409479411</v>
      </c>
      <c r="H56" s="6">
        <f>+'2006'!F56</f>
        <v>0.88706091596265002</v>
      </c>
      <c r="I56" s="6">
        <f>+'2007'!F56</f>
        <v>0.85821455363840959</v>
      </c>
      <c r="J56" s="6">
        <f>+'2008'!F56</f>
        <v>0.36817936250675309</v>
      </c>
      <c r="K56" s="6">
        <f>+'2009'!F56</f>
        <v>0.5329834311001338</v>
      </c>
      <c r="L56" s="6">
        <f>+'2010'!F56</f>
        <v>1.7274414620217018</v>
      </c>
      <c r="M56" s="6">
        <f>+'2011'!F56</f>
        <v>2.0563623789764867</v>
      </c>
      <c r="N56" s="6">
        <f>+'2012'!F56</f>
        <v>1.509930486593843</v>
      </c>
      <c r="O56" s="6">
        <f>+'2013'!F56</f>
        <v>1.1360415682569673</v>
      </c>
      <c r="P56" s="6">
        <f>+'2014'!F56</f>
        <v>0.91183206106870229</v>
      </c>
      <c r="Q56" s="6">
        <f>+'2015'!F56</f>
        <v>0.76520781723093867</v>
      </c>
      <c r="R56" s="6">
        <f>+'2016'!F56</f>
        <v>1.0994535519125683</v>
      </c>
      <c r="S56" s="6">
        <f>+'2017'!F56</f>
        <v>0.52609844730756528</v>
      </c>
      <c r="T56" s="6">
        <f>+'2018'!F56</f>
        <v>2.5776765375854214</v>
      </c>
      <c r="U56" s="6">
        <f>+'2019'!F56</f>
        <v>1.5111464968152866</v>
      </c>
      <c r="V56" s="6">
        <f>+'2020'!F56</f>
        <v>1.1624834874504624</v>
      </c>
      <c r="W56" s="6">
        <f>+'2021'!F56</f>
        <v>0.97205882352941175</v>
      </c>
      <c r="X56" s="6">
        <f>+'2022'!G56</f>
        <v>0.93228706159740637</v>
      </c>
    </row>
    <row r="57" spans="2:24" ht="15" thickBot="1" x14ac:dyDescent="0.25">
      <c r="B57" s="5" t="s">
        <v>82</v>
      </c>
      <c r="C57" s="6">
        <f>+'2001'!F57</f>
        <v>1.1323076923076922</v>
      </c>
      <c r="D57" s="6">
        <f>+'2002'!F57</f>
        <v>0.91007194244604317</v>
      </c>
      <c r="E57" s="6">
        <f>+'2003'!F57</f>
        <v>1.0674157303370786</v>
      </c>
      <c r="F57" s="6">
        <f>+'2004'!F57</f>
        <v>0.88535031847133761</v>
      </c>
      <c r="G57" s="6">
        <f>+'2005'!F57</f>
        <v>1.0169779286926994</v>
      </c>
      <c r="H57" s="6">
        <f>+'2006'!F57</f>
        <v>0.90909090909090906</v>
      </c>
      <c r="I57" s="6">
        <f>+'2007'!F57</f>
        <v>1.5190615835777126</v>
      </c>
      <c r="J57" s="6">
        <f>+'2008'!F57</f>
        <v>0.87947269303201503</v>
      </c>
      <c r="K57" s="6">
        <f>+'2009'!F57</f>
        <v>0.59868421052631582</v>
      </c>
      <c r="L57" s="6">
        <f>+'2010'!F57</f>
        <v>1.0603085553997196</v>
      </c>
      <c r="M57" s="6">
        <f>+'2011'!F57</f>
        <v>1.1177570093457945</v>
      </c>
      <c r="N57" s="6">
        <f>+'2012'!F57</f>
        <v>1.2376470588235293</v>
      </c>
      <c r="O57" s="6">
        <f>+'2013'!F57</f>
        <v>1.1331521739130435</v>
      </c>
      <c r="P57" s="6">
        <f>+'2014'!F57</f>
        <v>0.87593984962406013</v>
      </c>
      <c r="Q57" s="6">
        <f>+'2015'!F57</f>
        <v>1.2146118721461188</v>
      </c>
      <c r="R57" s="6">
        <f>+'2016'!F57</f>
        <v>1.1331360946745561</v>
      </c>
      <c r="S57" s="6">
        <f>+'2017'!F57</f>
        <v>0.9353932584269663</v>
      </c>
      <c r="T57" s="6">
        <f>+'2018'!F57</f>
        <v>0.97832817337461297</v>
      </c>
      <c r="U57" s="6">
        <f>+'2019'!F57</f>
        <v>1.2560240963855422</v>
      </c>
      <c r="V57" s="6">
        <f>+'2020'!F57</f>
        <v>0.98765432098765427</v>
      </c>
      <c r="W57" s="6">
        <f>+'2021'!F57</f>
        <v>1.153623188405797</v>
      </c>
      <c r="X57" s="6">
        <f>+'2022'!G57</f>
        <v>1.0376301040832665</v>
      </c>
    </row>
    <row r="58" spans="2:24" ht="15" thickBot="1" x14ac:dyDescent="0.25">
      <c r="B58" s="5" t="s">
        <v>83</v>
      </c>
      <c r="C58" s="6">
        <f>+'2001'!F58</f>
        <v>1.1394052044609666</v>
      </c>
      <c r="D58" s="6">
        <f>+'2002'!F58</f>
        <v>0.9309749784296808</v>
      </c>
      <c r="E58" s="6">
        <f>+'2003'!F58</f>
        <v>0.68803945745992601</v>
      </c>
      <c r="F58" s="6">
        <f>+'2004'!F58</f>
        <v>0.93259972489683629</v>
      </c>
      <c r="G58" s="6">
        <f>+'2005'!F58</f>
        <v>0.91488326848249024</v>
      </c>
      <c r="H58" s="6">
        <f>+'2006'!F58</f>
        <v>0.77557755775577553</v>
      </c>
      <c r="I58" s="6">
        <f>+'2007'!F58</f>
        <v>1.1410670978172999</v>
      </c>
      <c r="J58" s="6">
        <f>+'2008'!F58</f>
        <v>1.064118372379778</v>
      </c>
      <c r="K58" s="6">
        <f>+'2009'!F58</f>
        <v>0.99351818509182566</v>
      </c>
      <c r="L58" s="6">
        <f>+'2010'!F58</f>
        <v>1.016230173367761</v>
      </c>
      <c r="M58" s="6">
        <f>+'2011'!F58</f>
        <v>0.95720555961960496</v>
      </c>
      <c r="N58" s="6">
        <f>+'2012'!F58</f>
        <v>1.2611228813559323</v>
      </c>
      <c r="O58" s="6">
        <f>+'2013'!F58</f>
        <v>1.2524084778420039</v>
      </c>
      <c r="P58" s="6">
        <f>+'2014'!F58</f>
        <v>1.0322188449848024</v>
      </c>
      <c r="Q58" s="6">
        <f>+'2015'!F58</f>
        <v>0.99657729606389045</v>
      </c>
      <c r="R58" s="6">
        <f>+'2016'!F58</f>
        <v>0.9298874104401228</v>
      </c>
      <c r="S58" s="6">
        <f>+'2017'!F58</f>
        <v>0.92647789369100841</v>
      </c>
      <c r="T58" s="6">
        <f>+'2018'!F58</f>
        <v>0.92159498207885304</v>
      </c>
      <c r="U58" s="6">
        <f>+'2019'!F58</f>
        <v>0.87700780174391924</v>
      </c>
      <c r="V58" s="6">
        <f>+'2020'!F58</f>
        <v>1.1277561608300908</v>
      </c>
      <c r="W58" s="6">
        <f>+'2021'!F58</f>
        <v>1.0360360360360361</v>
      </c>
      <c r="X58" s="6">
        <f>+'2022'!G58</f>
        <v>1.0741498740554156</v>
      </c>
    </row>
  </sheetData>
  <pageMargins left="0.75" right="0.75" top="1" bottom="1" header="0" footer="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AA345-1590-4B54-9B00-EA216EE43E03}">
  <dimension ref="B7:W58"/>
  <sheetViews>
    <sheetView workbookViewId="0"/>
  </sheetViews>
  <sheetFormatPr baseColWidth="10" defaultColWidth="10.710937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16384" width="10.7109375" style="1"/>
  </cols>
  <sheetData>
    <row r="7" spans="2:23" ht="13.5" thickBot="1" x14ac:dyDescent="0.25"/>
    <row r="8" spans="2:23" ht="20.100000000000001" customHeight="1" thickBot="1" x14ac:dyDescent="0.25"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2022</v>
      </c>
    </row>
    <row r="9" spans="2:23" s="7" customFormat="1" ht="20.100000000000001" customHeight="1" thickBot="1" x14ac:dyDescent="0.25">
      <c r="B9" s="5" t="s">
        <v>39</v>
      </c>
      <c r="C9" s="6">
        <f>+'2001'!G9</f>
        <v>1.029229904440697</v>
      </c>
      <c r="D9" s="6">
        <f>+'2002'!G9</f>
        <v>0.89165103189493433</v>
      </c>
      <c r="E9" s="6">
        <f>+'2003'!G9</f>
        <v>0.94360902255639101</v>
      </c>
      <c r="F9" s="6">
        <f>+'2004'!G9</f>
        <v>1.0829938900203666</v>
      </c>
      <c r="G9" s="6">
        <f>+'2005'!G9</f>
        <v>0.91180523656407897</v>
      </c>
      <c r="H9" s="6">
        <f>+'2006'!G9</f>
        <v>1.0488841657810839</v>
      </c>
      <c r="I9" s="6">
        <f>+'2007'!G9</f>
        <v>0.89000805801772764</v>
      </c>
      <c r="J9" s="6">
        <f>+'2008'!G9</f>
        <v>0.7712714331931414</v>
      </c>
      <c r="K9" s="6">
        <f>+'2009'!G9</f>
        <v>0.93371428571428572</v>
      </c>
      <c r="L9" s="6">
        <f>+'2010'!G9</f>
        <v>1.210225361587622</v>
      </c>
      <c r="M9" s="6">
        <f>+'2011'!G9</f>
        <v>1.0839002267573696</v>
      </c>
      <c r="N9" s="6">
        <f>+'2012'!G9</f>
        <v>1.0017191977077364</v>
      </c>
      <c r="O9" s="6">
        <f>+'2013'!G9</f>
        <v>0.85666666666666669</v>
      </c>
      <c r="P9" s="6">
        <f>+'2014'!G9</f>
        <v>1.0022669311419665</v>
      </c>
      <c r="Q9" s="6">
        <f>+'2015'!G9</f>
        <v>1.25764192139738</v>
      </c>
      <c r="R9" s="6">
        <f>+'2016'!G9</f>
        <v>1.068802329814343</v>
      </c>
      <c r="S9" s="6">
        <f>+'2017'!G9</f>
        <v>1.0018939393939394</v>
      </c>
      <c r="T9" s="6">
        <f>+'2018'!G9</f>
        <v>0.98230690711126234</v>
      </c>
      <c r="U9" s="6">
        <f>+'2019'!G9</f>
        <v>0.93079470198675496</v>
      </c>
      <c r="V9" s="6">
        <f>+'2020'!G9</f>
        <v>0.69536423841059603</v>
      </c>
      <c r="W9" s="6">
        <f>+'2022'!G9</f>
        <v>1.0302562519296079</v>
      </c>
    </row>
    <row r="10" spans="2:23" s="7" customFormat="1" ht="20.100000000000001" customHeight="1" thickBot="1" x14ac:dyDescent="0.25">
      <c r="B10" s="5" t="s">
        <v>40</v>
      </c>
      <c r="C10" s="6">
        <f>+'2001'!G10</f>
        <v>1.0663811563169165</v>
      </c>
      <c r="D10" s="6">
        <f>+'2002'!G10</f>
        <v>0.95228070175438595</v>
      </c>
      <c r="E10" s="6">
        <f>+'2003'!G10</f>
        <v>1.0879384911100431</v>
      </c>
      <c r="F10" s="6">
        <f>+'2004'!G10</f>
        <v>0.9925889328063241</v>
      </c>
      <c r="G10" s="6">
        <f>+'2005'!G10</f>
        <v>1.0266009852216749</v>
      </c>
      <c r="H10" s="6">
        <f>+'2006'!G10</f>
        <v>0.88655462184873945</v>
      </c>
      <c r="I10" s="6">
        <f>+'2007'!G10</f>
        <v>1.0060435132957293</v>
      </c>
      <c r="J10" s="6">
        <f>+'2008'!G10</f>
        <v>0.83463949843260188</v>
      </c>
      <c r="K10" s="6">
        <f>+'2009'!G10</f>
        <v>0.90189125295508277</v>
      </c>
      <c r="L10" s="6">
        <f>+'2010'!G10</f>
        <v>1.0094339622641511</v>
      </c>
      <c r="M10" s="6">
        <f>+'2011'!G10</f>
        <v>1.0410783055198973</v>
      </c>
      <c r="N10" s="6">
        <f>+'2012'!G10</f>
        <v>0.85505011565150346</v>
      </c>
      <c r="O10" s="6">
        <f>+'2013'!G10</f>
        <v>0.78846153846153844</v>
      </c>
      <c r="P10" s="6">
        <f>+'2014'!G10</f>
        <v>1.0993261060650454</v>
      </c>
      <c r="Q10" s="6">
        <f>+'2015'!G10</f>
        <v>1.3455621301775147</v>
      </c>
      <c r="R10" s="6">
        <f>+'2016'!G10</f>
        <v>0.91682563906905756</v>
      </c>
      <c r="S10" s="6">
        <f>+'2017'!G10</f>
        <v>0.9263196480938416</v>
      </c>
      <c r="T10" s="6">
        <f>+'2018'!G10</f>
        <v>0.96532012195121952</v>
      </c>
      <c r="U10" s="6">
        <f>+'2019'!G10</f>
        <v>0.90247989276139406</v>
      </c>
      <c r="V10" s="6">
        <f>+'2020'!G10</f>
        <v>0.83808095952023987</v>
      </c>
      <c r="W10" s="6">
        <f>+'2022'!G10</f>
        <v>0.91875662310137762</v>
      </c>
    </row>
    <row r="11" spans="2:23" s="7" customFormat="1" ht="20.100000000000001" customHeight="1" thickBot="1" x14ac:dyDescent="0.25">
      <c r="B11" s="5" t="s">
        <v>41</v>
      </c>
      <c r="C11" s="6">
        <f>+'2001'!G11</f>
        <v>0.93441938178780282</v>
      </c>
      <c r="D11" s="6">
        <f>+'2002'!G11</f>
        <v>0.91039236479321317</v>
      </c>
      <c r="E11" s="6">
        <f>+'2003'!G11</f>
        <v>0.92913758428960136</v>
      </c>
      <c r="F11" s="6">
        <f>+'2004'!G11</f>
        <v>0.89420245710224389</v>
      </c>
      <c r="G11" s="6">
        <f>+'2005'!G11</f>
        <v>1.0019118534916482</v>
      </c>
      <c r="H11" s="6">
        <f>+'2006'!G11</f>
        <v>1.0150414937759336</v>
      </c>
      <c r="I11" s="6">
        <f>+'2007'!G11</f>
        <v>1.0530489166852803</v>
      </c>
      <c r="J11" s="6">
        <f>+'2008'!G11</f>
        <v>0.87135678391959803</v>
      </c>
      <c r="K11" s="6">
        <f>+'2009'!G11</f>
        <v>0.71482508406583678</v>
      </c>
      <c r="L11" s="6">
        <f>+'2010'!G11</f>
        <v>0.90746065375302665</v>
      </c>
      <c r="M11" s="6">
        <f>+'2011'!G11</f>
        <v>0.84264385170273448</v>
      </c>
      <c r="N11" s="6">
        <f>+'2012'!G11</f>
        <v>0.83570252880442919</v>
      </c>
      <c r="O11" s="6">
        <f>+'2013'!G11</f>
        <v>0.93648736228127027</v>
      </c>
      <c r="P11" s="6">
        <f>+'2014'!G11</f>
        <v>0.95821894303363075</v>
      </c>
      <c r="Q11" s="6">
        <f>+'2015'!G11</f>
        <v>1.0946623679025613</v>
      </c>
      <c r="R11" s="6">
        <f>+'2016'!G11</f>
        <v>1.1558454491137224</v>
      </c>
      <c r="S11" s="6">
        <f>+'2017'!G11</f>
        <v>1.1238805970149253</v>
      </c>
      <c r="T11" s="6">
        <f>+'2018'!G11</f>
        <v>0.91172692237107722</v>
      </c>
      <c r="U11" s="6">
        <f>+'2019'!G11</f>
        <v>0.83744821872410935</v>
      </c>
      <c r="V11" s="6">
        <f>+'2020'!G11</f>
        <v>0.83625680463146979</v>
      </c>
      <c r="W11" s="6">
        <f>+'2022'!G11</f>
        <v>0.94249873716113819</v>
      </c>
    </row>
    <row r="12" spans="2:23" s="7" customFormat="1" ht="20.100000000000001" customHeight="1" thickBot="1" x14ac:dyDescent="0.25">
      <c r="B12" s="5" t="s">
        <v>42</v>
      </c>
      <c r="C12" s="6">
        <f>+'2001'!G12</f>
        <v>0.91094797318863707</v>
      </c>
      <c r="D12" s="6">
        <f>+'2002'!G12</f>
        <v>0.88497321680293206</v>
      </c>
      <c r="E12" s="6">
        <f>+'2003'!G12</f>
        <v>0.7761714855433699</v>
      </c>
      <c r="F12" s="6">
        <f>+'2004'!G12</f>
        <v>0.94322505121451561</v>
      </c>
      <c r="G12" s="6">
        <f>+'2005'!G12</f>
        <v>0.91931684334511188</v>
      </c>
      <c r="H12" s="6">
        <f>+'2006'!G12</f>
        <v>1.012314581584103</v>
      </c>
      <c r="I12" s="6">
        <f>+'2007'!G12</f>
        <v>1.053370786516854</v>
      </c>
      <c r="J12" s="6">
        <f>+'2008'!G12</f>
        <v>0.72251403731208119</v>
      </c>
      <c r="K12" s="6">
        <f>+'2009'!G12</f>
        <v>0.71128107074569791</v>
      </c>
      <c r="L12" s="6">
        <f>+'2010'!G12</f>
        <v>0.88352120236178211</v>
      </c>
      <c r="M12" s="6">
        <f>+'2011'!G12</f>
        <v>0.72251028070802792</v>
      </c>
      <c r="N12" s="6">
        <f>+'2012'!G12</f>
        <v>0.75669444937045571</v>
      </c>
      <c r="O12" s="6">
        <f>+'2013'!G12</f>
        <v>0.80411535968891767</v>
      </c>
      <c r="P12" s="6">
        <f>+'2014'!G12</f>
        <v>0.99254483175498687</v>
      </c>
      <c r="Q12" s="6">
        <f>+'2015'!G12</f>
        <v>1.0220044008801761</v>
      </c>
      <c r="R12" s="6">
        <f>+'2016'!G12</f>
        <v>1.0904127538763921</v>
      </c>
      <c r="S12" s="6">
        <f>+'2017'!G12</f>
        <v>0.97836053548505408</v>
      </c>
      <c r="T12" s="6">
        <f>+'2018'!G12</f>
        <v>1</v>
      </c>
      <c r="U12" s="6">
        <f>+'2019'!G12</f>
        <v>0.67881625146296609</v>
      </c>
      <c r="V12" s="6">
        <f>+'2020'!G12</f>
        <v>0.75586523196330924</v>
      </c>
      <c r="W12" s="6">
        <f>+'2022'!G12</f>
        <v>0.94272872263302887</v>
      </c>
    </row>
    <row r="13" spans="2:23" s="7" customFormat="1" ht="20.100000000000001" customHeight="1" thickBot="1" x14ac:dyDescent="0.25">
      <c r="B13" s="5" t="s">
        <v>43</v>
      </c>
      <c r="C13" s="6">
        <f>+'2001'!G13</f>
        <v>0.97175141242937857</v>
      </c>
      <c r="D13" s="6">
        <f>+'2002'!G13</f>
        <v>1.0047058823529411</v>
      </c>
      <c r="E13" s="6">
        <f>+'2003'!G13</f>
        <v>1.0053475935828877</v>
      </c>
      <c r="F13" s="6">
        <f>+'2004'!G13</f>
        <v>1.0033557046979866</v>
      </c>
      <c r="G13" s="6">
        <f>+'2005'!G13</f>
        <v>0.99024390243902438</v>
      </c>
      <c r="H13" s="6">
        <f>+'2006'!G13</f>
        <v>0.96216216216216222</v>
      </c>
      <c r="I13" s="6">
        <f>+'2007'!G13</f>
        <v>0.98907103825136611</v>
      </c>
      <c r="J13" s="6">
        <f>+'2008'!G13</f>
        <v>0.96455696202531649</v>
      </c>
      <c r="K13" s="6">
        <f>+'2009'!G13</f>
        <v>1.0043859649122806</v>
      </c>
      <c r="L13" s="6">
        <f>+'2010'!G13</f>
        <v>0.95951417004048578</v>
      </c>
      <c r="M13" s="6">
        <f>+'2011'!G13</f>
        <v>0.99810964083175802</v>
      </c>
      <c r="N13" s="6">
        <f>+'2012'!G13</f>
        <v>0.85830618892508148</v>
      </c>
      <c r="O13" s="6">
        <f>+'2013'!G13</f>
        <v>1.0796460176991149</v>
      </c>
      <c r="P13" s="6">
        <f>+'2014'!G13</f>
        <v>1.0407470288624787</v>
      </c>
      <c r="Q13" s="6">
        <f>+'2015'!G13</f>
        <v>1.0159744408945688</v>
      </c>
      <c r="R13" s="6">
        <f>+'2016'!G13</f>
        <v>0.96360485268630847</v>
      </c>
      <c r="S13" s="6">
        <f>+'2017'!G13</f>
        <v>0.9503105590062112</v>
      </c>
      <c r="T13" s="6">
        <f>+'2018'!G13</f>
        <v>0.93548387096774188</v>
      </c>
      <c r="U13" s="6">
        <f>+'2019'!G13</f>
        <v>0.68211920529801329</v>
      </c>
      <c r="V13" s="6">
        <f>+'2020'!G13</f>
        <v>0.85737704918032787</v>
      </c>
      <c r="W13" s="6">
        <f>+'2022'!G13</f>
        <v>0.77751756440281028</v>
      </c>
    </row>
    <row r="14" spans="2:23" s="7" customFormat="1" ht="20.100000000000001" customHeight="1" thickBot="1" x14ac:dyDescent="0.25">
      <c r="B14" s="5" t="s">
        <v>44</v>
      </c>
      <c r="C14" s="6">
        <f>+'2001'!G14</f>
        <v>0.62933799941673962</v>
      </c>
      <c r="D14" s="6">
        <f>+'2002'!G14</f>
        <v>0.70730003492839677</v>
      </c>
      <c r="E14" s="6">
        <f>+'2003'!G14</f>
        <v>0.84094427244582048</v>
      </c>
      <c r="F14" s="6">
        <f>+'2004'!G14</f>
        <v>0.72847457627118639</v>
      </c>
      <c r="G14" s="6">
        <f>+'2005'!G14</f>
        <v>0.86587695834925482</v>
      </c>
      <c r="H14" s="6">
        <f>+'2006'!G14</f>
        <v>0.8307101727447217</v>
      </c>
      <c r="I14" s="6">
        <f>+'2007'!G14</f>
        <v>0.87298387096774188</v>
      </c>
      <c r="J14" s="6">
        <f>+'2008'!G14</f>
        <v>0.692064606741573</v>
      </c>
      <c r="K14" s="6">
        <f>+'2009'!G14</f>
        <v>0.7905817174515235</v>
      </c>
      <c r="L14" s="6">
        <f>+'2010'!G14</f>
        <v>0.87701549162187797</v>
      </c>
      <c r="M14" s="6">
        <f>+'2011'!G14</f>
        <v>0.88976377952755903</v>
      </c>
      <c r="N14" s="6">
        <f>+'2012'!G14</f>
        <v>0.79666500746640123</v>
      </c>
      <c r="O14" s="6">
        <f>+'2013'!G14</f>
        <v>0.88733823902562803</v>
      </c>
      <c r="P14" s="6">
        <f>+'2014'!G14</f>
        <v>0.94533373603141047</v>
      </c>
      <c r="Q14" s="6">
        <f>+'2015'!G14</f>
        <v>1.0145464917284654</v>
      </c>
      <c r="R14" s="6">
        <f>+'2016'!G14</f>
        <v>1.182105595953209</v>
      </c>
      <c r="S14" s="6">
        <f>+'2017'!G14</f>
        <v>0.96966055872634427</v>
      </c>
      <c r="T14" s="6">
        <f>+'2018'!G14</f>
        <v>0.96483516483516485</v>
      </c>
      <c r="U14" s="6">
        <f>+'2019'!G14</f>
        <v>0.89032258064516134</v>
      </c>
      <c r="V14" s="6">
        <f>+'2020'!G14</f>
        <v>0.751128818061089</v>
      </c>
      <c r="W14" s="6">
        <f>+'2022'!G14</f>
        <v>0.89160516605166051</v>
      </c>
    </row>
    <row r="15" spans="2:23" s="7" customFormat="1" ht="20.100000000000001" customHeight="1" thickBot="1" x14ac:dyDescent="0.25">
      <c r="B15" s="5" t="s">
        <v>45</v>
      </c>
      <c r="C15" s="6">
        <f>+'2001'!G15</f>
        <v>0.9192751235584844</v>
      </c>
      <c r="D15" s="6">
        <f>+'2002'!G15</f>
        <v>1.0034858387799563</v>
      </c>
      <c r="E15" s="6">
        <f>+'2003'!G15</f>
        <v>1.0752456266474959</v>
      </c>
      <c r="F15" s="6">
        <f>+'2004'!G15</f>
        <v>0.98617072007629947</v>
      </c>
      <c r="G15" s="6">
        <f>+'2005'!G15</f>
        <v>1.0207070707070707</v>
      </c>
      <c r="H15" s="6">
        <f>+'2006'!G15</f>
        <v>0.92018108172504165</v>
      </c>
      <c r="I15" s="6">
        <f>+'2007'!G15</f>
        <v>0.91461305663640291</v>
      </c>
      <c r="J15" s="6">
        <f>+'2008'!G15</f>
        <v>0.72024071627770436</v>
      </c>
      <c r="K15" s="6">
        <f>+'2009'!G15</f>
        <v>0.76129117959617432</v>
      </c>
      <c r="L15" s="6">
        <f>+'2010'!G15</f>
        <v>0.80198407518600701</v>
      </c>
      <c r="M15" s="6">
        <f>+'2011'!G15</f>
        <v>0.75554123711340204</v>
      </c>
      <c r="N15" s="6">
        <f>+'2012'!G15</f>
        <v>0.80917431192660549</v>
      </c>
      <c r="O15" s="6">
        <f>+'2013'!G15</f>
        <v>0.83465246798100445</v>
      </c>
      <c r="P15" s="6">
        <f>+'2014'!G15</f>
        <v>0.82734806629834257</v>
      </c>
      <c r="Q15" s="6">
        <f>+'2015'!G15</f>
        <v>0.91135135135135137</v>
      </c>
      <c r="R15" s="6">
        <f>+'2016'!G15</f>
        <v>1.1015561015561015</v>
      </c>
      <c r="S15" s="6">
        <f>+'2017'!G15</f>
        <v>1.0039469529523208</v>
      </c>
      <c r="T15" s="6">
        <f>+'2018'!G15</f>
        <v>0.93726672408842948</v>
      </c>
      <c r="U15" s="6">
        <f>+'2019'!G15</f>
        <v>0.87376038595550787</v>
      </c>
      <c r="V15" s="6">
        <f>+'2020'!G15</f>
        <v>0.92395878682339283</v>
      </c>
      <c r="W15" s="6">
        <f>+'2022'!G15</f>
        <v>1.1547545059042883</v>
      </c>
    </row>
    <row r="16" spans="2:23" s="7" customFormat="1" ht="20.100000000000001" customHeight="1" thickBot="1" x14ac:dyDescent="0.25">
      <c r="B16" s="5" t="s">
        <v>46</v>
      </c>
      <c r="C16" s="6">
        <f>+'2001'!G16</f>
        <v>1.0141413579044067</v>
      </c>
      <c r="D16" s="6">
        <f>+'2002'!G16</f>
        <v>0.93350396219914356</v>
      </c>
      <c r="E16" s="6">
        <f>+'2003'!G16</f>
        <v>0.97638402068262609</v>
      </c>
      <c r="F16" s="6">
        <f>+'2004'!G16</f>
        <v>1.0352351304443648</v>
      </c>
      <c r="G16" s="6">
        <f>+'2005'!G16</f>
        <v>1.0042966983265491</v>
      </c>
      <c r="H16" s="6">
        <f>+'2006'!G16</f>
        <v>0.97250226551880381</v>
      </c>
      <c r="I16" s="6">
        <f>+'2007'!G16</f>
        <v>1.0112194277803415</v>
      </c>
      <c r="J16" s="6">
        <f>+'2008'!G16</f>
        <v>0.8534689935538935</v>
      </c>
      <c r="K16" s="6">
        <f>+'2009'!G16</f>
        <v>0.86259247097908176</v>
      </c>
      <c r="L16" s="6">
        <f>+'2010'!G16</f>
        <v>0.9195305775407806</v>
      </c>
      <c r="M16" s="6">
        <f>+'2011'!G16</f>
        <v>0.90857118747758581</v>
      </c>
      <c r="N16" s="6">
        <f>+'2012'!G16</f>
        <v>0.89769100437369476</v>
      </c>
      <c r="O16" s="6">
        <f>+'2013'!G16</f>
        <v>0.87116517772286639</v>
      </c>
      <c r="P16" s="6">
        <f>+'2014'!G16</f>
        <v>0.94930398990630238</v>
      </c>
      <c r="Q16" s="6">
        <f>+'2015'!G16</f>
        <v>1.0113424133375848</v>
      </c>
      <c r="R16" s="6">
        <f>+'2016'!G16</f>
        <v>1.0758388763878242</v>
      </c>
      <c r="S16" s="6">
        <f>+'2017'!G16</f>
        <v>1.0276218611521417</v>
      </c>
      <c r="T16" s="6">
        <f>+'2018'!G16</f>
        <v>1.0271041369472182</v>
      </c>
      <c r="U16" s="6">
        <f>+'2019'!G16</f>
        <v>0.95075174350149438</v>
      </c>
      <c r="V16" s="6">
        <f>+'2020'!G16</f>
        <v>0.79796916309866406</v>
      </c>
      <c r="W16" s="6">
        <f>+'2022'!G16</f>
        <v>0.97952536063285245</v>
      </c>
    </row>
    <row r="17" spans="2:23" s="7" customFormat="1" ht="20.100000000000001" customHeight="1" thickBot="1" x14ac:dyDescent="0.25">
      <c r="B17" s="5" t="s">
        <v>47</v>
      </c>
      <c r="C17" s="6">
        <f>+'2001'!G17</f>
        <v>0.72997264556467367</v>
      </c>
      <c r="D17" s="6">
        <f>+'2002'!G17</f>
        <v>0.86804901036757776</v>
      </c>
      <c r="E17" s="6">
        <f>+'2003'!G17</f>
        <v>1.1220910623946037</v>
      </c>
      <c r="F17" s="6">
        <f>+'2004'!G17</f>
        <v>1.2572741194486983</v>
      </c>
      <c r="G17" s="6">
        <f>+'2005'!G17</f>
        <v>0.95198618307426597</v>
      </c>
      <c r="H17" s="6">
        <f>+'2006'!G17</f>
        <v>1.0506224066390042</v>
      </c>
      <c r="I17" s="6">
        <f>+'2007'!G17</f>
        <v>0.98983543078412395</v>
      </c>
      <c r="J17" s="6">
        <f>+'2008'!G17</f>
        <v>0.88623853211009174</v>
      </c>
      <c r="K17" s="6">
        <f>+'2009'!G17</f>
        <v>0.95852821951980038</v>
      </c>
      <c r="L17" s="6">
        <f>+'2010'!G17</f>
        <v>0.85531370038412291</v>
      </c>
      <c r="M17" s="6">
        <f>+'2011'!G17</f>
        <v>1.0348997926744989</v>
      </c>
      <c r="N17" s="6">
        <f>+'2012'!G17</f>
        <v>0.95741512805241213</v>
      </c>
      <c r="O17" s="6">
        <f>+'2013'!G17</f>
        <v>0.77835172575722</v>
      </c>
      <c r="P17" s="6">
        <f>+'2014'!G17</f>
        <v>1.2042946614971668</v>
      </c>
      <c r="Q17" s="6">
        <f>+'2015'!G17</f>
        <v>1.2761020881670533</v>
      </c>
      <c r="R17" s="6">
        <f>+'2016'!G17</f>
        <v>1.0146076794657763</v>
      </c>
      <c r="S17" s="6">
        <f>+'2017'!G17</f>
        <v>0.81022686352178608</v>
      </c>
      <c r="T17" s="6">
        <f>+'2018'!G17</f>
        <v>0.84676544994578962</v>
      </c>
      <c r="U17" s="6">
        <f>+'2019'!G17</f>
        <v>0.91776798825256978</v>
      </c>
      <c r="V17" s="6">
        <f>+'2020'!G17</f>
        <v>0.5298455056179775</v>
      </c>
      <c r="W17" s="6">
        <f>+'2022'!G17</f>
        <v>1.2116920842411039</v>
      </c>
    </row>
    <row r="18" spans="2:23" s="7" customFormat="1" ht="20.100000000000001" customHeight="1" thickBot="1" x14ac:dyDescent="0.25">
      <c r="B18" s="5" t="s">
        <v>48</v>
      </c>
      <c r="C18" s="6">
        <f>+'2001'!G18</f>
        <v>0.52967806841046272</v>
      </c>
      <c r="D18" s="6">
        <f>+'2002'!G18</f>
        <v>0.57213057213057217</v>
      </c>
      <c r="E18" s="6">
        <f>+'2003'!G18</f>
        <v>0.86112423240434577</v>
      </c>
      <c r="F18" s="6">
        <f>+'2004'!G18</f>
        <v>0.84953703703703709</v>
      </c>
      <c r="G18" s="6">
        <f>+'2005'!G18</f>
        <v>1.0700483091787441</v>
      </c>
      <c r="H18" s="6">
        <f>+'2006'!G18</f>
        <v>0.94022834116856946</v>
      </c>
      <c r="I18" s="6">
        <f>+'2007'!G18</f>
        <v>0.86494051784464665</v>
      </c>
      <c r="J18" s="6">
        <f>+'2008'!G18</f>
        <v>0.77099634846113718</v>
      </c>
      <c r="K18" s="6">
        <f>+'2009'!G18</f>
        <v>0.86968204209583522</v>
      </c>
      <c r="L18" s="6">
        <f>+'2010'!G18</f>
        <v>0.94467213114754101</v>
      </c>
      <c r="M18" s="6">
        <f>+'2011'!G18</f>
        <v>0.89467592592592593</v>
      </c>
      <c r="N18" s="6">
        <f>+'2012'!G18</f>
        <v>0.74920490686051799</v>
      </c>
      <c r="O18" s="6">
        <f>+'2013'!G18</f>
        <v>0.87815126050420167</v>
      </c>
      <c r="P18" s="6">
        <f>+'2014'!G18</f>
        <v>0.91531531531531529</v>
      </c>
      <c r="Q18" s="6">
        <f>+'2015'!G18</f>
        <v>0.90630855715178016</v>
      </c>
      <c r="R18" s="6">
        <f>+'2016'!G18</f>
        <v>0.92829457364341084</v>
      </c>
      <c r="S18" s="6">
        <f>+'2017'!G18</f>
        <v>0.86279069767441863</v>
      </c>
      <c r="T18" s="6">
        <f>+'2018'!G18</f>
        <v>1.0134064594759293</v>
      </c>
      <c r="U18" s="6">
        <f>+'2019'!G18</f>
        <v>0.84170999422299253</v>
      </c>
      <c r="V18" s="6">
        <f>+'2020'!G18</f>
        <v>0.93200769724182164</v>
      </c>
      <c r="W18" s="6">
        <f>+'2022'!G18</f>
        <v>0.88194444444444442</v>
      </c>
    </row>
    <row r="19" spans="2:23" s="7" customFormat="1" ht="20.100000000000001" customHeight="1" thickBot="1" x14ac:dyDescent="0.25">
      <c r="B19" s="5" t="s">
        <v>49</v>
      </c>
      <c r="C19" s="6">
        <f>+'2001'!G19</f>
        <v>0.73705834018077243</v>
      </c>
      <c r="D19" s="6">
        <f>+'2002'!G19</f>
        <v>0.75670322973796467</v>
      </c>
      <c r="E19" s="6">
        <f>+'2003'!G19</f>
        <v>0.87853297442799461</v>
      </c>
      <c r="F19" s="6">
        <f>+'2004'!G19</f>
        <v>0.81043718679799548</v>
      </c>
      <c r="G19" s="6">
        <f>+'2005'!G19</f>
        <v>0.88751691474966166</v>
      </c>
      <c r="H19" s="6">
        <f>+'2006'!G19</f>
        <v>0.96261150123363071</v>
      </c>
      <c r="I19" s="6">
        <f>+'2007'!G19</f>
        <v>0.93488455988455987</v>
      </c>
      <c r="J19" s="6">
        <f>+'2008'!G19</f>
        <v>0.67127038933206329</v>
      </c>
      <c r="K19" s="6">
        <f>+'2009'!G19</f>
        <v>0.81888975414395371</v>
      </c>
      <c r="L19" s="6">
        <f>+'2010'!G19</f>
        <v>0.84703756292758492</v>
      </c>
      <c r="M19" s="6">
        <f>+'2011'!G19</f>
        <v>0.78026425425544577</v>
      </c>
      <c r="N19" s="6">
        <f>+'2012'!G19</f>
        <v>0.93671940049958369</v>
      </c>
      <c r="O19" s="6">
        <f>+'2013'!G19</f>
        <v>0.96818955360649295</v>
      </c>
      <c r="P19" s="6">
        <f>+'2014'!G19</f>
        <v>0.74915476060639108</v>
      </c>
      <c r="Q19" s="6">
        <f>+'2015'!G19</f>
        <v>1.0818158168574401</v>
      </c>
      <c r="R19" s="6">
        <f>+'2016'!G19</f>
        <v>0.98588814085965826</v>
      </c>
      <c r="S19" s="6">
        <f>+'2017'!G19</f>
        <v>0.76441657444977251</v>
      </c>
      <c r="T19" s="6">
        <f>+'2018'!G19</f>
        <v>0.87170821011125199</v>
      </c>
      <c r="U19" s="6">
        <f>+'2019'!G19</f>
        <v>0.85003536901674137</v>
      </c>
      <c r="V19" s="6">
        <f>+'2020'!G19</f>
        <v>0.69942196531791911</v>
      </c>
      <c r="W19" s="6">
        <f>+'2022'!G19</f>
        <v>0.91940718303764601</v>
      </c>
    </row>
    <row r="20" spans="2:23" s="7" customFormat="1" ht="20.100000000000001" customHeight="1" thickBot="1" x14ac:dyDescent="0.25">
      <c r="B20" s="5" t="s">
        <v>50</v>
      </c>
      <c r="C20" s="6">
        <f>+'2001'!G20</f>
        <v>0.89434585224927776</v>
      </c>
      <c r="D20" s="6">
        <f>+'2002'!G20</f>
        <v>1.0461885092001502</v>
      </c>
      <c r="E20" s="6">
        <f>+'2003'!G20</f>
        <v>1.0313576843556169</v>
      </c>
      <c r="F20" s="6">
        <f>+'2004'!G20</f>
        <v>1.068991660348749</v>
      </c>
      <c r="G20" s="6">
        <f>+'2005'!G20</f>
        <v>1.0312035661218424</v>
      </c>
      <c r="H20" s="6">
        <f>+'2006'!G20</f>
        <v>0.96269633507853403</v>
      </c>
      <c r="I20" s="6">
        <f>+'2007'!G20</f>
        <v>0.9206817436905933</v>
      </c>
      <c r="J20" s="6">
        <f>+'2008'!G20</f>
        <v>0.76323366555924699</v>
      </c>
      <c r="K20" s="6">
        <f>+'2009'!G20</f>
        <v>0.76361785168844387</v>
      </c>
      <c r="L20" s="6">
        <f>+'2010'!G20</f>
        <v>1.0149978876214618</v>
      </c>
      <c r="M20" s="6">
        <f>+'2011'!G20</f>
        <v>0.85427752762996312</v>
      </c>
      <c r="N20" s="6">
        <f>+'2012'!G20</f>
        <v>0.88867964009206946</v>
      </c>
      <c r="O20" s="6">
        <f>+'2013'!G20</f>
        <v>0.7218890554722639</v>
      </c>
      <c r="P20" s="6">
        <f>+'2014'!G20</f>
        <v>0.83427922814982969</v>
      </c>
      <c r="Q20" s="6">
        <f>+'2015'!G20</f>
        <v>0.96290837632031445</v>
      </c>
      <c r="R20" s="6">
        <f>+'2016'!G20</f>
        <v>1.1538858765814615</v>
      </c>
      <c r="S20" s="6">
        <f>+'2017'!G20</f>
        <v>1.0338757001867165</v>
      </c>
      <c r="T20" s="6">
        <f>+'2018'!G20</f>
        <v>0.86699875466998755</v>
      </c>
      <c r="U20" s="6">
        <f>+'2019'!G20</f>
        <v>0.82945344129554655</v>
      </c>
      <c r="V20" s="6">
        <f>+'2020'!G20</f>
        <v>0.85124197599776719</v>
      </c>
      <c r="W20" s="6">
        <f>+'2022'!G20</f>
        <v>1.0627495721620079</v>
      </c>
    </row>
    <row r="21" spans="2:23" s="7" customFormat="1" ht="20.100000000000001" customHeight="1" thickBot="1" x14ac:dyDescent="0.25">
      <c r="B21" s="5" t="s">
        <v>51</v>
      </c>
      <c r="C21" s="6">
        <f>+'2001'!G21</f>
        <v>1.0810810810810811</v>
      </c>
      <c r="D21" s="6">
        <f>+'2002'!G21</f>
        <v>0.88028169014084512</v>
      </c>
      <c r="E21" s="6">
        <f>+'2003'!G21</f>
        <v>0.90764572293716883</v>
      </c>
      <c r="F21" s="6">
        <f>+'2004'!G21</f>
        <v>0.89157566302652103</v>
      </c>
      <c r="G21" s="6">
        <f>+'2005'!G21</f>
        <v>0.95818345323741005</v>
      </c>
      <c r="H21" s="6">
        <f>+'2006'!G21</f>
        <v>0.65669074647402825</v>
      </c>
      <c r="I21" s="6">
        <f>+'2007'!G21</f>
        <v>0.87368421052631584</v>
      </c>
      <c r="J21" s="6">
        <f>+'2008'!G21</f>
        <v>0.77490251683800071</v>
      </c>
      <c r="K21" s="6">
        <f>+'2009'!G21</f>
        <v>0.72353389185072359</v>
      </c>
      <c r="L21" s="6">
        <f>+'2010'!G21</f>
        <v>0.77608944954128445</v>
      </c>
      <c r="M21" s="6">
        <f>+'2011'!G21</f>
        <v>0.74749932414165987</v>
      </c>
      <c r="N21" s="6">
        <f>+'2012'!G21</f>
        <v>0.77326968973747012</v>
      </c>
      <c r="O21" s="6">
        <f>+'2013'!G21</f>
        <v>0.76209896682979883</v>
      </c>
      <c r="P21" s="6">
        <f>+'2014'!G21</f>
        <v>1.0778715120051914</v>
      </c>
      <c r="Q21" s="6">
        <f>+'2015'!G21</f>
        <v>1.1097293343087051</v>
      </c>
      <c r="R21" s="6">
        <f>+'2016'!G21</f>
        <v>0.98540925266903912</v>
      </c>
      <c r="S21" s="6">
        <f>+'2017'!G21</f>
        <v>1.0908766928011404</v>
      </c>
      <c r="T21" s="6">
        <f>+'2018'!G21</f>
        <v>1.0495014245014245</v>
      </c>
      <c r="U21" s="6">
        <f>+'2019'!G21</f>
        <v>0.95980861244019133</v>
      </c>
      <c r="V21" s="6">
        <f>+'2020'!G21</f>
        <v>0.89116607773851586</v>
      </c>
      <c r="W21" s="6">
        <f>+'2022'!G21</f>
        <v>1.1119894598155469</v>
      </c>
    </row>
    <row r="22" spans="2:23" s="7" customFormat="1" ht="15" thickBot="1" x14ac:dyDescent="0.25">
      <c r="B22" s="5" t="s">
        <v>52</v>
      </c>
      <c r="C22" s="6">
        <f>+'2001'!G22</f>
        <v>0.65274828969096488</v>
      </c>
      <c r="D22" s="6">
        <f>+'2002'!G22</f>
        <v>0.65417929839757472</v>
      </c>
      <c r="E22" s="6">
        <f>+'2003'!G22</f>
        <v>0.5825289575289575</v>
      </c>
      <c r="F22" s="6">
        <f>+'2004'!G22</f>
        <v>0.75336927223719674</v>
      </c>
      <c r="G22" s="6">
        <f>+'2005'!G22</f>
        <v>0.72291252485089463</v>
      </c>
      <c r="H22" s="6">
        <f>+'2006'!G22</f>
        <v>0.77154853050135841</v>
      </c>
      <c r="I22" s="6">
        <f>+'2007'!G22</f>
        <v>0.83864598025387871</v>
      </c>
      <c r="J22" s="6">
        <f>+'2008'!G22</f>
        <v>0.59334041799504078</v>
      </c>
      <c r="K22" s="6">
        <f>+'2009'!G22</f>
        <v>0.68722257450856061</v>
      </c>
      <c r="L22" s="6">
        <f>+'2010'!G22</f>
        <v>0.75455845548802292</v>
      </c>
      <c r="M22" s="6">
        <f>+'2011'!G22</f>
        <v>0.72397294175878568</v>
      </c>
      <c r="N22" s="6">
        <f>+'2012'!G22</f>
        <v>0.71394873407768522</v>
      </c>
      <c r="O22" s="6">
        <f>+'2013'!G22</f>
        <v>0.74087363494539782</v>
      </c>
      <c r="P22" s="6">
        <f>+'2014'!G22</f>
        <v>0.91785630704423127</v>
      </c>
      <c r="Q22" s="6">
        <f>+'2015'!G22</f>
        <v>0.86166744294364228</v>
      </c>
      <c r="R22" s="6">
        <f>+'2016'!G22</f>
        <v>0.89294585196224541</v>
      </c>
      <c r="S22" s="6">
        <f>+'2017'!G22</f>
        <v>0.79098187947745469</v>
      </c>
      <c r="T22" s="6">
        <f>+'2018'!G22</f>
        <v>0.80975938835169781</v>
      </c>
      <c r="U22" s="6">
        <f>+'2019'!G22</f>
        <v>0.66335630320227001</v>
      </c>
      <c r="V22" s="6">
        <f>+'2020'!G22</f>
        <v>0.69214684014869887</v>
      </c>
      <c r="W22" s="6">
        <f>+'2022'!G22</f>
        <v>0.86672589960017765</v>
      </c>
    </row>
    <row r="23" spans="2:23" s="7" customFormat="1" ht="20.100000000000001" customHeight="1" thickBot="1" x14ac:dyDescent="0.25">
      <c r="B23" s="5" t="s">
        <v>53</v>
      </c>
      <c r="C23" s="6">
        <f>+'2001'!G23</f>
        <v>0.96095753776004555</v>
      </c>
      <c r="D23" s="6">
        <f>+'2002'!G23</f>
        <v>0.97454945659650571</v>
      </c>
      <c r="E23" s="6">
        <f>+'2003'!G23</f>
        <v>0.95548764283816101</v>
      </c>
      <c r="F23" s="6">
        <f>+'2004'!G23</f>
        <v>0.92245881880273206</v>
      </c>
      <c r="G23" s="6">
        <f>+'2005'!G23</f>
        <v>0.96534860975268966</v>
      </c>
      <c r="H23" s="6">
        <f>+'2006'!G23</f>
        <v>0.81152430511486229</v>
      </c>
      <c r="I23" s="6">
        <f>+'2007'!G23</f>
        <v>0.88881805431595051</v>
      </c>
      <c r="J23" s="6">
        <f>+'2008'!G23</f>
        <v>0.7998864281658149</v>
      </c>
      <c r="K23" s="6">
        <f>+'2009'!G23</f>
        <v>0.76959142665773606</v>
      </c>
      <c r="L23" s="6">
        <f>+'2010'!G23</f>
        <v>0.75731050404001543</v>
      </c>
      <c r="M23" s="6">
        <f>+'2011'!G23</f>
        <v>0.86733784746970777</v>
      </c>
      <c r="N23" s="6">
        <f>+'2012'!G23</f>
        <v>1.0108558444837161</v>
      </c>
      <c r="O23" s="6">
        <f>+'2013'!G23</f>
        <v>0.86819484240687683</v>
      </c>
      <c r="P23" s="6">
        <f>+'2014'!G23</f>
        <v>0.88322091062394603</v>
      </c>
      <c r="Q23" s="6">
        <f>+'2015'!G23</f>
        <v>0.94845455379253418</v>
      </c>
      <c r="R23" s="6">
        <f>+'2016'!G23</f>
        <v>0.98098211751348285</v>
      </c>
      <c r="S23" s="6">
        <f>+'2017'!G23</f>
        <v>1.0439281176257034</v>
      </c>
      <c r="T23" s="6">
        <f>+'2018'!G23</f>
        <v>0.95362233938683849</v>
      </c>
      <c r="U23" s="6">
        <f>+'2019'!G23</f>
        <v>0.98316118392500651</v>
      </c>
      <c r="V23" s="6">
        <f>+'2020'!G23</f>
        <v>0.89596690796277145</v>
      </c>
      <c r="W23" s="6">
        <f>+'2022'!G23</f>
        <v>1.2072107377290096</v>
      </c>
    </row>
    <row r="24" spans="2:23" s="7" customFormat="1" ht="20.100000000000001" customHeight="1" thickBot="1" x14ac:dyDescent="0.25">
      <c r="B24" s="5" t="s">
        <v>54</v>
      </c>
      <c r="C24" s="6">
        <f>+'2001'!G24</f>
        <v>0.86533333333333329</v>
      </c>
      <c r="D24" s="6">
        <f>+'2002'!G24</f>
        <v>0.5958408679927667</v>
      </c>
      <c r="E24" s="6">
        <f>+'2003'!G24</f>
        <v>0.95960832313341493</v>
      </c>
      <c r="F24" s="6">
        <f>+'2004'!G24</f>
        <v>0.80963045912653975</v>
      </c>
      <c r="G24" s="6">
        <f>+'2005'!G24</f>
        <v>0.82634730538922152</v>
      </c>
      <c r="H24" s="6">
        <f>+'2006'!G24</f>
        <v>0.72073170731707314</v>
      </c>
      <c r="I24" s="6">
        <f>+'2007'!G24</f>
        <v>1.1487730061349692</v>
      </c>
      <c r="J24" s="6">
        <f>+'2008'!G24</f>
        <v>0.58279370952821463</v>
      </c>
      <c r="K24" s="6">
        <f>+'2009'!G24</f>
        <v>0.88275193798449614</v>
      </c>
      <c r="L24" s="6">
        <f>+'2010'!G24</f>
        <v>0.83781362007168458</v>
      </c>
      <c r="M24" s="6">
        <f>+'2011'!G24</f>
        <v>0.82505559673832474</v>
      </c>
      <c r="N24" s="6">
        <f>+'2012'!G24</f>
        <v>0.82892416225749554</v>
      </c>
      <c r="O24" s="6">
        <f>+'2013'!G24</f>
        <v>0.76434001382170003</v>
      </c>
      <c r="P24" s="6">
        <f>+'2014'!G24</f>
        <v>0.97073170731707314</v>
      </c>
      <c r="Q24" s="6">
        <f>+'2015'!G24</f>
        <v>0.79689703808180534</v>
      </c>
      <c r="R24" s="6">
        <f>+'2016'!G24</f>
        <v>1.0667361835245046</v>
      </c>
      <c r="S24" s="6">
        <f>+'2017'!G24</f>
        <v>0.74744661095636022</v>
      </c>
      <c r="T24" s="6">
        <f>+'2018'!G24</f>
        <v>0.86710963455149503</v>
      </c>
      <c r="U24" s="6">
        <f>+'2019'!G24</f>
        <v>0.63002461033634127</v>
      </c>
      <c r="V24" s="6">
        <f>+'2020'!G24</f>
        <v>0.78371501272264632</v>
      </c>
      <c r="W24" s="6">
        <f>+'2022'!G24</f>
        <v>0.92151675485008822</v>
      </c>
    </row>
    <row r="25" spans="2:23" s="7" customFormat="1" ht="20.100000000000001" customHeight="1" thickBot="1" x14ac:dyDescent="0.25">
      <c r="B25" s="5" t="s">
        <v>55</v>
      </c>
      <c r="C25" s="6">
        <f>+'2001'!G25</f>
        <v>0.95026178010471207</v>
      </c>
      <c r="D25" s="6">
        <f>+'2002'!G25</f>
        <v>0.96650923142979817</v>
      </c>
      <c r="E25" s="6">
        <f>+'2003'!G25</f>
        <v>1.0249221183800623</v>
      </c>
      <c r="F25" s="6">
        <f>+'2004'!G25</f>
        <v>0.95836701697655613</v>
      </c>
      <c r="G25" s="6">
        <f>+'2005'!G25</f>
        <v>0.99695933105283163</v>
      </c>
      <c r="H25" s="6">
        <f>+'2006'!G25</f>
        <v>0.90962099125364426</v>
      </c>
      <c r="I25" s="6">
        <f>+'2007'!G25</f>
        <v>0.92893747864707887</v>
      </c>
      <c r="J25" s="6">
        <f>+'2008'!G25</f>
        <v>0.8294331773270931</v>
      </c>
      <c r="K25" s="6">
        <f>+'2009'!G25</f>
        <v>0.76683013820775747</v>
      </c>
      <c r="L25" s="6">
        <f>+'2010'!G25</f>
        <v>0.88306739699928549</v>
      </c>
      <c r="M25" s="6">
        <f>+'2011'!G25</f>
        <v>0.89717282261741904</v>
      </c>
      <c r="N25" s="6">
        <f>+'2012'!G25</f>
        <v>0.93455935037019344</v>
      </c>
      <c r="O25" s="6">
        <f>+'2013'!G25</f>
        <v>0.92274158391862438</v>
      </c>
      <c r="P25" s="6">
        <f>+'2014'!G25</f>
        <v>0.96709786276715415</v>
      </c>
      <c r="Q25" s="6">
        <f>+'2015'!G25</f>
        <v>1.166969696969697</v>
      </c>
      <c r="R25" s="6">
        <f>+'2016'!G25</f>
        <v>1.0769924812030076</v>
      </c>
      <c r="S25" s="6">
        <f>+'2017'!G25</f>
        <v>0.89940368161783768</v>
      </c>
      <c r="T25" s="6">
        <f>+'2018'!G25</f>
        <v>0.97270899166906066</v>
      </c>
      <c r="U25" s="6">
        <f>+'2019'!G25</f>
        <v>0.92728237791932056</v>
      </c>
      <c r="V25" s="6">
        <f>+'2020'!G25</f>
        <v>0.84685682636388815</v>
      </c>
      <c r="W25" s="6">
        <f>+'2022'!G25</f>
        <v>1.103203781512605</v>
      </c>
    </row>
    <row r="26" spans="2:23" s="7" customFormat="1" ht="20.100000000000001" customHeight="1" thickBot="1" x14ac:dyDescent="0.25">
      <c r="B26" s="5" t="s">
        <v>56</v>
      </c>
      <c r="C26" s="6">
        <f>+'2001'!G26</f>
        <v>0.85736174954729072</v>
      </c>
      <c r="D26" s="6">
        <f>+'2002'!G26</f>
        <v>0.89035087719298245</v>
      </c>
      <c r="E26" s="6">
        <f>+'2003'!G26</f>
        <v>0.90965846492838776</v>
      </c>
      <c r="F26" s="6">
        <f>+'2004'!G26</f>
        <v>1.3207641196013289</v>
      </c>
      <c r="G26" s="6">
        <f>+'2005'!G26</f>
        <v>1.0143331321665661</v>
      </c>
      <c r="H26" s="6">
        <f>+'2006'!G26</f>
        <v>0.99213299688288559</v>
      </c>
      <c r="I26" s="6">
        <f>+'2007'!G26</f>
        <v>0.9359409594095941</v>
      </c>
      <c r="J26" s="6">
        <f>+'2008'!G26</f>
        <v>0.80024534859946839</v>
      </c>
      <c r="K26" s="6">
        <f>+'2009'!G26</f>
        <v>0.87205450932147255</v>
      </c>
      <c r="L26" s="6">
        <f>+'2010'!G26</f>
        <v>0.95058930190389845</v>
      </c>
      <c r="M26" s="6">
        <f>+'2011'!G26</f>
        <v>0.8553607552258935</v>
      </c>
      <c r="N26" s="6">
        <f>+'2012'!G26</f>
        <v>0.80817896548233625</v>
      </c>
      <c r="O26" s="6">
        <f>+'2013'!G26</f>
        <v>0.81451787648970753</v>
      </c>
      <c r="P26" s="6">
        <f>+'2014'!G26</f>
        <v>0.86966094231616031</v>
      </c>
      <c r="Q26" s="6">
        <f>+'2015'!G26</f>
        <v>0.98422238918106686</v>
      </c>
      <c r="R26" s="6">
        <f>+'2016'!G26</f>
        <v>0.87863203908459764</v>
      </c>
      <c r="S26" s="6">
        <f>+'2017'!G26</f>
        <v>0.79579944154425153</v>
      </c>
      <c r="T26" s="6">
        <f>+'2018'!G26</f>
        <v>0.95846051758460515</v>
      </c>
      <c r="U26" s="6">
        <f>+'2019'!G26</f>
        <v>0.75314717326619363</v>
      </c>
      <c r="V26" s="6">
        <f>+'2020'!G26</f>
        <v>0.73598130841121501</v>
      </c>
      <c r="W26" s="6">
        <f>+'2022'!G26</f>
        <v>0.96483329277196395</v>
      </c>
    </row>
    <row r="27" spans="2:23" ht="15" thickBot="1" x14ac:dyDescent="0.25">
      <c r="B27" s="5" t="s">
        <v>57</v>
      </c>
      <c r="C27" s="6">
        <f>+'2001'!G27</f>
        <v>0.82301740812379109</v>
      </c>
      <c r="D27" s="6">
        <f>+'2002'!G27</f>
        <v>0.75630252100840334</v>
      </c>
      <c r="E27" s="6">
        <f>+'2003'!G27</f>
        <v>0.97928286852589641</v>
      </c>
      <c r="F27" s="6">
        <f>+'2004'!G27</f>
        <v>1.1938622754491017</v>
      </c>
      <c r="G27" s="6">
        <f>+'2005'!G27</f>
        <v>1.1884057971014492</v>
      </c>
      <c r="H27" s="6">
        <f>+'2006'!G27</f>
        <v>0.93893630991464216</v>
      </c>
      <c r="I27" s="6">
        <f>+'2007'!G27</f>
        <v>1.0590277777777777</v>
      </c>
      <c r="J27" s="6">
        <f>+'2008'!G27</f>
        <v>0.58364938895912344</v>
      </c>
      <c r="K27" s="6">
        <f>+'2009'!G27</f>
        <v>0.80901213171577124</v>
      </c>
      <c r="L27" s="6">
        <f>+'2010'!G27</f>
        <v>1.00382226469183</v>
      </c>
      <c r="M27" s="6">
        <f>+'2011'!G27</f>
        <v>1.1226799456767769</v>
      </c>
      <c r="N27" s="6">
        <f>+'2012'!G27</f>
        <v>0.87822292740975805</v>
      </c>
      <c r="O27" s="6">
        <f>+'2013'!G27</f>
        <v>0.98863157894736842</v>
      </c>
      <c r="P27" s="6">
        <f>+'2014'!G27</f>
        <v>1.1158900836320191</v>
      </c>
      <c r="Q27" s="6">
        <f>+'2015'!G27</f>
        <v>1.2058111380145278</v>
      </c>
      <c r="R27" s="6">
        <f>+'2016'!G27</f>
        <v>0.9606741573033708</v>
      </c>
      <c r="S27" s="6">
        <f>+'2017'!G27</f>
        <v>0.89988687782805432</v>
      </c>
      <c r="T27" s="6">
        <f>+'2018'!G27</f>
        <v>0.974390243902439</v>
      </c>
      <c r="U27" s="6">
        <f>+'2019'!G27</f>
        <v>0.84022556390977443</v>
      </c>
      <c r="V27" s="6">
        <f>+'2020'!G27</f>
        <v>0.72231884057971019</v>
      </c>
      <c r="W27" s="6">
        <f>+'2022'!G27</f>
        <v>1.2025931928687197</v>
      </c>
    </row>
    <row r="28" spans="2:23" ht="15" thickBot="1" x14ac:dyDescent="0.25">
      <c r="B28" s="5" t="s">
        <v>58</v>
      </c>
      <c r="C28" s="6">
        <f>+'2001'!G28</f>
        <v>0.95066518847006654</v>
      </c>
      <c r="D28" s="6">
        <f>+'2002'!G28</f>
        <v>0.84214285714285719</v>
      </c>
      <c r="E28" s="6">
        <f>+'2003'!G28</f>
        <v>0.98007033997655335</v>
      </c>
      <c r="F28" s="6">
        <f>+'2004'!G28</f>
        <v>1.1704180064308682</v>
      </c>
      <c r="G28" s="6">
        <f>+'2005'!G28</f>
        <v>1.0079590676520751</v>
      </c>
      <c r="H28" s="6">
        <f>+'2006'!G28</f>
        <v>0.99021019291678669</v>
      </c>
      <c r="I28" s="6">
        <f>+'2007'!G28</f>
        <v>0.96669352672575881</v>
      </c>
      <c r="J28" s="6">
        <f>+'2008'!G28</f>
        <v>0.88153310104529614</v>
      </c>
      <c r="K28" s="6">
        <f>+'2009'!G28</f>
        <v>0.88443294523501514</v>
      </c>
      <c r="L28" s="6">
        <f>+'2010'!G28</f>
        <v>0.90973981119042135</v>
      </c>
      <c r="M28" s="6">
        <f>+'2011'!G28</f>
        <v>0.99660585490029696</v>
      </c>
      <c r="N28" s="6">
        <f>+'2012'!G28</f>
        <v>1.0197872340425531</v>
      </c>
      <c r="O28" s="6">
        <f>+'2013'!G28</f>
        <v>0.71527064691213149</v>
      </c>
      <c r="P28" s="6">
        <f>+'2014'!G28</f>
        <v>1.0114803625377644</v>
      </c>
      <c r="Q28" s="6">
        <f>+'2015'!G28</f>
        <v>1.2670181068072428</v>
      </c>
      <c r="R28" s="6">
        <f>+'2016'!G28</f>
        <v>1.1201737451737452</v>
      </c>
      <c r="S28" s="6">
        <f>+'2017'!G28</f>
        <v>0.96258424355101091</v>
      </c>
      <c r="T28" s="6">
        <f>+'2018'!G28</f>
        <v>1.0661672908863919</v>
      </c>
      <c r="U28" s="6">
        <f>+'2019'!G28</f>
        <v>0.90608899297423884</v>
      </c>
      <c r="V28" s="6">
        <f>+'2020'!G28</f>
        <v>0.85663082437275984</v>
      </c>
      <c r="W28" s="6">
        <f>+'2022'!G28</f>
        <v>0.88048533872598589</v>
      </c>
    </row>
    <row r="29" spans="2:23" ht="15" thickBot="1" x14ac:dyDescent="0.25">
      <c r="B29" s="5" t="s">
        <v>59</v>
      </c>
      <c r="C29" s="6">
        <f>+'2001'!G29</f>
        <v>0.77003319108582269</v>
      </c>
      <c r="D29" s="6">
        <f>+'2002'!G29</f>
        <v>0.88361879666227494</v>
      </c>
      <c r="E29" s="6">
        <f>+'2003'!G29</f>
        <v>0.98357894736842111</v>
      </c>
      <c r="F29" s="6">
        <f>+'2004'!G29</f>
        <v>0.79837194740137762</v>
      </c>
      <c r="G29" s="6">
        <f>+'2005'!G29</f>
        <v>1.1075412762159751</v>
      </c>
      <c r="H29" s="6">
        <f>+'2006'!G29</f>
        <v>0.98262032085561501</v>
      </c>
      <c r="I29" s="6">
        <f>+'2007'!G29</f>
        <v>0.84299516908212557</v>
      </c>
      <c r="J29" s="6">
        <f>+'2008'!G29</f>
        <v>0.85210084033613442</v>
      </c>
      <c r="K29" s="6">
        <f>+'2009'!G29</f>
        <v>0.77260348583877991</v>
      </c>
      <c r="L29" s="6">
        <f>+'2010'!G29</f>
        <v>0.79797441364605548</v>
      </c>
      <c r="M29" s="6">
        <f>+'2011'!G29</f>
        <v>0.80174563591022441</v>
      </c>
      <c r="N29" s="6">
        <f>+'2012'!G29</f>
        <v>0.7315753887762001</v>
      </c>
      <c r="O29" s="6">
        <f>+'2013'!G29</f>
        <v>0.75820379965457685</v>
      </c>
      <c r="P29" s="6">
        <f>+'2014'!G29</f>
        <v>0.88942436412315928</v>
      </c>
      <c r="Q29" s="6">
        <f>+'2015'!G29</f>
        <v>0.86233829631437642</v>
      </c>
      <c r="R29" s="6">
        <f>+'2016'!G29</f>
        <v>1.0928532755820248</v>
      </c>
      <c r="S29" s="6">
        <f>+'2017'!G29</f>
        <v>1.0770365997638724</v>
      </c>
      <c r="T29" s="6">
        <f>+'2018'!G29</f>
        <v>1.0663098424026167</v>
      </c>
      <c r="U29" s="6">
        <f>+'2019'!G29</f>
        <v>0.92903045543447893</v>
      </c>
      <c r="V29" s="6">
        <f>+'2020'!G29</f>
        <v>0.85352673492605236</v>
      </c>
      <c r="W29" s="6">
        <f>+'2022'!G29</f>
        <v>1.0739928747602083</v>
      </c>
    </row>
    <row r="30" spans="2:23" ht="15" thickBot="1" x14ac:dyDescent="0.25">
      <c r="B30" s="5" t="s">
        <v>60</v>
      </c>
      <c r="C30" s="6">
        <f>+'2001'!G30</f>
        <v>0.99599198396793587</v>
      </c>
      <c r="D30" s="6">
        <f>+'2002'!G30</f>
        <v>0.82741116751269039</v>
      </c>
      <c r="E30" s="6">
        <f>+'2003'!G30</f>
        <v>0.68712394705174484</v>
      </c>
      <c r="F30" s="6">
        <f>+'2004'!G30</f>
        <v>0.85127478753541075</v>
      </c>
      <c r="G30" s="6">
        <f>+'2005'!G30</f>
        <v>0.78340365682137836</v>
      </c>
      <c r="H30" s="6">
        <f>+'2006'!G30</f>
        <v>0.79708029197080288</v>
      </c>
      <c r="I30" s="6">
        <f>+'2007'!G30</f>
        <v>0.73261205564142196</v>
      </c>
      <c r="J30" s="6">
        <f>+'2008'!G30</f>
        <v>0.81879194630872487</v>
      </c>
      <c r="K30" s="6">
        <f>+'2009'!G30</f>
        <v>0.73248407643312097</v>
      </c>
      <c r="L30" s="6">
        <f>+'2010'!G30</f>
        <v>0.76549586776859502</v>
      </c>
      <c r="M30" s="6">
        <f>+'2011'!G30</f>
        <v>0.86510590858416947</v>
      </c>
      <c r="N30" s="6">
        <f>+'2012'!G30</f>
        <v>0.88840736728060676</v>
      </c>
      <c r="O30" s="6">
        <f>+'2013'!G30</f>
        <v>0.70879120879120883</v>
      </c>
      <c r="P30" s="6">
        <f>+'2014'!G30</f>
        <v>1.0476839237057221</v>
      </c>
      <c r="Q30" s="6">
        <f>+'2015'!G30</f>
        <v>1.0445609436435124</v>
      </c>
      <c r="R30" s="6">
        <f>+'2016'!G30</f>
        <v>1.1962110960757781</v>
      </c>
      <c r="S30" s="6">
        <f>+'2017'!G30</f>
        <v>0.89145496535796764</v>
      </c>
      <c r="T30" s="6">
        <f>+'2018'!G30</f>
        <v>0.86296715741789354</v>
      </c>
      <c r="U30" s="6">
        <f>+'2019'!G30</f>
        <v>0.8820224719101124</v>
      </c>
      <c r="V30" s="6">
        <f>+'2020'!G30</f>
        <v>0.76170655567117584</v>
      </c>
      <c r="W30" s="6">
        <f>+'2022'!G30</f>
        <v>0.90666666666666662</v>
      </c>
    </row>
    <row r="31" spans="2:23" ht="15" thickBot="1" x14ac:dyDescent="0.25">
      <c r="B31" s="5" t="s">
        <v>61</v>
      </c>
      <c r="C31" s="6">
        <f>+'2001'!G31</f>
        <v>1.1425224521671222</v>
      </c>
      <c r="D31" s="6">
        <f>+'2002'!G31</f>
        <v>0.94145283700758942</v>
      </c>
      <c r="E31" s="6">
        <f>+'2003'!G31</f>
        <v>1.0213143872113677</v>
      </c>
      <c r="F31" s="6">
        <f>+'2004'!G31</f>
        <v>1.0453499835688465</v>
      </c>
      <c r="G31" s="6">
        <f>+'2005'!G31</f>
        <v>0.96777862016679306</v>
      </c>
      <c r="H31" s="6">
        <f>+'2006'!G31</f>
        <v>1.0347688660608456</v>
      </c>
      <c r="I31" s="6">
        <f>+'2007'!G31</f>
        <v>1.05901774659513</v>
      </c>
      <c r="J31" s="6">
        <f>+'2008'!G31</f>
        <v>0.78740690589031825</v>
      </c>
      <c r="K31" s="6">
        <f>+'2009'!G31</f>
        <v>0.98209951456310685</v>
      </c>
      <c r="L31" s="6">
        <f>+'2010'!G31</f>
        <v>0.97682430316316948</v>
      </c>
      <c r="M31" s="6">
        <f>+'2011'!G31</f>
        <v>0.91122327790973867</v>
      </c>
      <c r="N31" s="6">
        <f>+'2012'!G31</f>
        <v>0.99070307960488091</v>
      </c>
      <c r="O31" s="6">
        <f>+'2013'!G31</f>
        <v>0.89770773638968482</v>
      </c>
      <c r="P31" s="6">
        <f>+'2014'!G31</f>
        <v>0.91255382577012256</v>
      </c>
      <c r="Q31" s="6">
        <f>+'2015'!G31</f>
        <v>1.0595075239398084</v>
      </c>
      <c r="R31" s="6">
        <f>+'2016'!G31</f>
        <v>1.1337037037037037</v>
      </c>
      <c r="S31" s="6">
        <f>+'2017'!G31</f>
        <v>0.86010533245556287</v>
      </c>
      <c r="T31" s="6">
        <f>+'2018'!G31</f>
        <v>0.91663854201822481</v>
      </c>
      <c r="U31" s="6">
        <f>+'2019'!G31</f>
        <v>0.7681312863949179</v>
      </c>
      <c r="V31" s="6">
        <f>+'2020'!G31</f>
        <v>0.83322411533420704</v>
      </c>
      <c r="W31" s="6">
        <f>+'2022'!G31</f>
        <v>0.86576129537738311</v>
      </c>
    </row>
    <row r="32" spans="2:23" ht="15" thickBot="1" x14ac:dyDescent="0.25">
      <c r="B32" s="5" t="s">
        <v>62</v>
      </c>
      <c r="C32" s="6">
        <f>+'2001'!G32</f>
        <v>0.89674754775425913</v>
      </c>
      <c r="D32" s="6">
        <f>+'2002'!G32</f>
        <v>0.71374764595103579</v>
      </c>
      <c r="E32" s="6">
        <f>+'2003'!G32</f>
        <v>0.82649372740803739</v>
      </c>
      <c r="F32" s="6">
        <f>+'2004'!G32</f>
        <v>0.83178005591798698</v>
      </c>
      <c r="G32" s="6">
        <f>+'2005'!G32</f>
        <v>0.89587378640776694</v>
      </c>
      <c r="H32" s="6">
        <f>+'2006'!G32</f>
        <v>0.83201533668823391</v>
      </c>
      <c r="I32" s="6">
        <f>+'2007'!G32</f>
        <v>0.94837872892347597</v>
      </c>
      <c r="J32" s="6">
        <f>+'2008'!G32</f>
        <v>0.81765295887662992</v>
      </c>
      <c r="K32" s="6">
        <f>+'2009'!G32</f>
        <v>0.8293090638930164</v>
      </c>
      <c r="L32" s="6">
        <f>+'2010'!G32</f>
        <v>0.91469916222391467</v>
      </c>
      <c r="M32" s="6">
        <f>+'2011'!G32</f>
        <v>0.91978719050542257</v>
      </c>
      <c r="N32" s="6">
        <f>+'2012'!G32</f>
        <v>0.78165137614678903</v>
      </c>
      <c r="O32" s="6">
        <f>+'2013'!G32</f>
        <v>0.70535576477851525</v>
      </c>
      <c r="P32" s="6">
        <f>+'2014'!G32</f>
        <v>1.2864406779661017</v>
      </c>
      <c r="Q32" s="6">
        <f>+'2015'!G32</f>
        <v>1.2114356232003292</v>
      </c>
      <c r="R32" s="6">
        <f>+'2016'!G32</f>
        <v>0.92457973648341663</v>
      </c>
      <c r="S32" s="6">
        <f>+'2017'!G32</f>
        <v>0.88289249146757676</v>
      </c>
      <c r="T32" s="6">
        <f>+'2018'!G32</f>
        <v>0.9531610521458237</v>
      </c>
      <c r="U32" s="6">
        <f>+'2019'!G32</f>
        <v>1.1337650736936131</v>
      </c>
      <c r="V32" s="6">
        <f>+'2020'!G32</f>
        <v>1.0026014568158168</v>
      </c>
      <c r="W32" s="6">
        <f>+'2022'!G32</f>
        <v>1.1538653990492869</v>
      </c>
    </row>
    <row r="33" spans="2:23" ht="15" thickBot="1" x14ac:dyDescent="0.25">
      <c r="B33" s="5" t="s">
        <v>63</v>
      </c>
      <c r="C33" s="6">
        <f>+'2001'!G33</f>
        <v>0.66978193146417442</v>
      </c>
      <c r="D33" s="6">
        <f>+'2002'!G33</f>
        <v>0.87216494845360826</v>
      </c>
      <c r="E33" s="6">
        <f>+'2003'!G33</f>
        <v>0.87825278810408924</v>
      </c>
      <c r="F33" s="6">
        <f>+'2004'!G33</f>
        <v>0.73718546132339235</v>
      </c>
      <c r="G33" s="6">
        <f>+'2005'!G33</f>
        <v>0.77738825591586325</v>
      </c>
      <c r="H33" s="6">
        <f>+'2006'!G33</f>
        <v>0.97565922920892489</v>
      </c>
      <c r="I33" s="6">
        <f>+'2007'!G33</f>
        <v>1.3243902439024391</v>
      </c>
      <c r="J33" s="6">
        <f>+'2008'!G33</f>
        <v>0.86175115207373276</v>
      </c>
      <c r="K33" s="6">
        <f>+'2009'!G33</f>
        <v>0.80348896870189845</v>
      </c>
      <c r="L33" s="6">
        <f>+'2010'!G33</f>
        <v>0.76904532304725171</v>
      </c>
      <c r="M33" s="6">
        <f>+'2011'!G33</f>
        <v>0.97748267898383367</v>
      </c>
      <c r="N33" s="6">
        <f>+'2012'!G33</f>
        <v>0.85220729366602688</v>
      </c>
      <c r="O33" s="6">
        <f>+'2013'!G33</f>
        <v>0.80538783093358102</v>
      </c>
      <c r="P33" s="6">
        <f>+'2014'!G33</f>
        <v>1.0327620967741935</v>
      </c>
      <c r="Q33" s="6">
        <f>+'2015'!G33</f>
        <v>1.3984674329501916</v>
      </c>
      <c r="R33" s="6">
        <f>+'2016'!G33</f>
        <v>1.2468768590124926</v>
      </c>
      <c r="S33" s="6">
        <f>+'2017'!G33</f>
        <v>0.99942062572421786</v>
      </c>
      <c r="T33" s="6">
        <f>+'2018'!G33</f>
        <v>0.86729301233118028</v>
      </c>
      <c r="U33" s="6">
        <f>+'2019'!G33</f>
        <v>0.681881051175657</v>
      </c>
      <c r="V33" s="6">
        <f>+'2020'!G33</f>
        <v>0.91238471673254284</v>
      </c>
      <c r="W33" s="6">
        <f>+'2022'!G33</f>
        <v>1.011302475780409</v>
      </c>
    </row>
    <row r="34" spans="2:23" ht="15" thickBot="1" x14ac:dyDescent="0.25">
      <c r="B34" s="5" t="s">
        <v>64</v>
      </c>
      <c r="C34" s="6">
        <f>+'2001'!G34</f>
        <v>0.92771084337349397</v>
      </c>
      <c r="D34" s="6">
        <f>+'2002'!G34</f>
        <v>0.80155642023346307</v>
      </c>
      <c r="E34" s="6">
        <f>+'2003'!G34</f>
        <v>1.2231320368474923</v>
      </c>
      <c r="F34" s="6">
        <f>+'2004'!G34</f>
        <v>0.78554119547657508</v>
      </c>
      <c r="G34" s="6">
        <f>+'2005'!G34</f>
        <v>1.1974000962927298</v>
      </c>
      <c r="H34" s="6">
        <f>+'2006'!G34</f>
        <v>0.86338089061824475</v>
      </c>
      <c r="I34" s="6">
        <f>+'2007'!G34</f>
        <v>0.7206309672063097</v>
      </c>
      <c r="J34" s="6">
        <f>+'2008'!G34</f>
        <v>0.77664783427495288</v>
      </c>
      <c r="K34" s="6">
        <f>+'2009'!G34</f>
        <v>0.87949836423118866</v>
      </c>
      <c r="L34" s="6">
        <f>+'2010'!G34</f>
        <v>1.1635006784260515</v>
      </c>
      <c r="M34" s="6">
        <f>+'2011'!G34</f>
        <v>1.1843245372193778</v>
      </c>
      <c r="N34" s="6">
        <f>+'2012'!G34</f>
        <v>0.94344827586206892</v>
      </c>
      <c r="O34" s="6">
        <f>+'2013'!G34</f>
        <v>0.7525525525525526</v>
      </c>
      <c r="P34" s="6">
        <f>+'2014'!G34</f>
        <v>0.99791883454734653</v>
      </c>
      <c r="Q34" s="6">
        <f>+'2015'!G34</f>
        <v>1.2463657230298393</v>
      </c>
      <c r="R34" s="6">
        <f>+'2016'!G34</f>
        <v>1.0928116469517744</v>
      </c>
      <c r="S34" s="6">
        <f>+'2017'!G34</f>
        <v>1.0599898322318251</v>
      </c>
      <c r="T34" s="6">
        <f>+'2018'!G34</f>
        <v>1.049567985447931</v>
      </c>
      <c r="U34" s="6">
        <f>+'2019'!G34</f>
        <v>0.95607613469985364</v>
      </c>
      <c r="V34" s="6">
        <f>+'2020'!G34</f>
        <v>0.87142857142857144</v>
      </c>
      <c r="W34" s="6">
        <f>+'2022'!G34</f>
        <v>0.88245614035087716</v>
      </c>
    </row>
    <row r="35" spans="2:23" ht="15" thickBot="1" x14ac:dyDescent="0.25">
      <c r="B35" s="5" t="s">
        <v>65</v>
      </c>
      <c r="C35" s="6">
        <f>+'2001'!G35</f>
        <v>1.1104513064133017</v>
      </c>
      <c r="D35" s="6">
        <f>+'2002'!G35</f>
        <v>1.0496402877697841</v>
      </c>
      <c r="E35" s="6">
        <f>+'2003'!G35</f>
        <v>1.0143462667101402</v>
      </c>
      <c r="F35" s="6">
        <f>+'2004'!G35</f>
        <v>0.75035704084547272</v>
      </c>
      <c r="G35" s="6">
        <f>+'2005'!G35</f>
        <v>1.2347684809098294</v>
      </c>
      <c r="H35" s="6">
        <f>+'2006'!G35</f>
        <v>1.007450980392157</v>
      </c>
      <c r="I35" s="6">
        <f>+'2007'!G35</f>
        <v>1.1311120726958026</v>
      </c>
      <c r="J35" s="6">
        <f>+'2008'!G35</f>
        <v>0.82775430614234646</v>
      </c>
      <c r="K35" s="6">
        <f>+'2009'!G35</f>
        <v>0.91449565798263188</v>
      </c>
      <c r="L35" s="6">
        <f>+'2010'!G35</f>
        <v>0.94324712643678166</v>
      </c>
      <c r="M35" s="6">
        <f>+'2011'!G35</f>
        <v>0.98270600203458802</v>
      </c>
      <c r="N35" s="6">
        <f>+'2012'!G35</f>
        <v>0.89641434262948205</v>
      </c>
      <c r="O35" s="6">
        <f>+'2013'!G35</f>
        <v>0.80234505862646566</v>
      </c>
      <c r="P35" s="6">
        <f>+'2014'!G35</f>
        <v>0.75616016427104726</v>
      </c>
      <c r="Q35" s="6">
        <f>+'2015'!G35</f>
        <v>0.99928977272727271</v>
      </c>
      <c r="R35" s="6">
        <f>+'2016'!G35</f>
        <v>0.98974189278623426</v>
      </c>
      <c r="S35" s="6">
        <f>+'2017'!G35</f>
        <v>0.86127355425601038</v>
      </c>
      <c r="T35" s="6">
        <f>+'2018'!G35</f>
        <v>0.84743589743589742</v>
      </c>
      <c r="U35" s="6">
        <f>+'2019'!G35</f>
        <v>1.0236667718523194</v>
      </c>
      <c r="V35" s="6">
        <f>+'2020'!G35</f>
        <v>1.017776341305753</v>
      </c>
      <c r="W35" s="6">
        <f>+'2022'!G35</f>
        <v>1.1016187050359711</v>
      </c>
    </row>
    <row r="36" spans="2:23" ht="15" thickBot="1" x14ac:dyDescent="0.25">
      <c r="B36" s="5" t="s">
        <v>32</v>
      </c>
      <c r="C36" s="6">
        <f>+'2001'!G36</f>
        <v>0.9546073536087154</v>
      </c>
      <c r="D36" s="6">
        <f>+'2002'!G36</f>
        <v>0.84733505732658998</v>
      </c>
      <c r="E36" s="6">
        <f>+'2003'!G36</f>
        <v>0.86846719742013501</v>
      </c>
      <c r="F36" s="6">
        <f>+'2004'!G36</f>
        <v>0.85987149239496008</v>
      </c>
      <c r="G36" s="6">
        <f>+'2005'!G36</f>
        <v>0.89731398748531299</v>
      </c>
      <c r="H36" s="6">
        <f>+'2006'!G36</f>
        <v>0.85455772775657501</v>
      </c>
      <c r="I36" s="6">
        <f>+'2007'!G36</f>
        <v>0.83061347839226352</v>
      </c>
      <c r="J36" s="6">
        <f>+'2008'!G36</f>
        <v>0.71042594333765008</v>
      </c>
      <c r="K36" s="6">
        <f>+'2009'!G36</f>
        <v>0.73056137474572669</v>
      </c>
      <c r="L36" s="6">
        <f>+'2010'!G36</f>
        <v>0.83693592420105989</v>
      </c>
      <c r="M36" s="6">
        <f>+'2011'!G36</f>
        <v>0.90875608676405484</v>
      </c>
      <c r="N36" s="6">
        <f>+'2012'!G36</f>
        <v>0.84913841922174582</v>
      </c>
      <c r="O36" s="6">
        <f>+'2013'!G36</f>
        <v>0.87651532024563306</v>
      </c>
      <c r="P36" s="6">
        <f>+'2014'!G36</f>
        <v>0.92844810075157425</v>
      </c>
      <c r="Q36" s="6">
        <f>+'2015'!G36</f>
        <v>1.0308636371888673</v>
      </c>
      <c r="R36" s="6">
        <f>+'2016'!G36</f>
        <v>1.0770303574498978</v>
      </c>
      <c r="S36" s="6">
        <f>+'2017'!G36</f>
        <v>0.96225677627665906</v>
      </c>
      <c r="T36" s="6">
        <f>+'2018'!G36</f>
        <v>1.0139171227521502</v>
      </c>
      <c r="U36" s="6">
        <f>+'2019'!G36</f>
        <v>0.95027325094776227</v>
      </c>
      <c r="V36" s="6">
        <f>+'2020'!G36</f>
        <v>0.75107498093430036</v>
      </c>
      <c r="W36" s="6">
        <f>+'2022'!G36</f>
        <v>1.0538325400780082</v>
      </c>
    </row>
    <row r="37" spans="2:23" ht="15" thickBot="1" x14ac:dyDescent="0.25">
      <c r="B37" s="5" t="s">
        <v>66</v>
      </c>
      <c r="C37" s="6">
        <f>+'2001'!G37</f>
        <v>0.79002602636218622</v>
      </c>
      <c r="D37" s="6">
        <f>+'2002'!G37</f>
        <v>0.76669316375198726</v>
      </c>
      <c r="E37" s="6">
        <f>+'2003'!G37</f>
        <v>0.80501239328008811</v>
      </c>
      <c r="F37" s="6">
        <f>+'2004'!G37</f>
        <v>0.90067572476930902</v>
      </c>
      <c r="G37" s="6">
        <f>+'2005'!G37</f>
        <v>0.80329089419998512</v>
      </c>
      <c r="H37" s="6">
        <f>+'2006'!G37</f>
        <v>0.95690844962429078</v>
      </c>
      <c r="I37" s="6">
        <f>+'2007'!G37</f>
        <v>1.0106198867212084</v>
      </c>
      <c r="J37" s="6">
        <f>+'2008'!G37</f>
        <v>0.7883941970985493</v>
      </c>
      <c r="K37" s="6">
        <f>+'2009'!G37</f>
        <v>0.67592495545540299</v>
      </c>
      <c r="L37" s="6">
        <f>+'2010'!G37</f>
        <v>0.74957846386417815</v>
      </c>
      <c r="M37" s="6">
        <f>+'2011'!G37</f>
        <v>0.78517637732857704</v>
      </c>
      <c r="N37" s="6">
        <f>+'2012'!G37</f>
        <v>0.76429498670952589</v>
      </c>
      <c r="O37" s="6">
        <f>+'2013'!G37</f>
        <v>0.81352663430205496</v>
      </c>
      <c r="P37" s="6">
        <f>+'2014'!G37</f>
        <v>0.87145650048875856</v>
      </c>
      <c r="Q37" s="6">
        <f>+'2015'!G37</f>
        <v>0.94643133612014241</v>
      </c>
      <c r="R37" s="6">
        <f>+'2016'!G37</f>
        <v>1.0109483042476128</v>
      </c>
      <c r="S37" s="6">
        <f>+'2017'!G37</f>
        <v>0.90264387963774462</v>
      </c>
      <c r="T37" s="6">
        <f>+'2018'!G37</f>
        <v>0.9880402694724093</v>
      </c>
      <c r="U37" s="6">
        <f>+'2019'!G37</f>
        <v>0.92171942594245693</v>
      </c>
      <c r="V37" s="6">
        <f>+'2020'!G37</f>
        <v>0.67586295393301676</v>
      </c>
      <c r="W37" s="6">
        <f>+'2022'!G37</f>
        <v>0.96538032878239066</v>
      </c>
    </row>
    <row r="38" spans="2:23" ht="15" thickBot="1" x14ac:dyDescent="0.25">
      <c r="B38" s="5" t="s">
        <v>33</v>
      </c>
      <c r="C38" s="6">
        <f>+'2001'!G38</f>
        <v>0.76732896816437124</v>
      </c>
      <c r="D38" s="6">
        <f>+'2002'!G38</f>
        <v>0.89731103112428545</v>
      </c>
      <c r="E38" s="6">
        <f>+'2003'!G38</f>
        <v>0.89083726755949511</v>
      </c>
      <c r="F38" s="6">
        <f>+'2004'!G38</f>
        <v>1.0375165125495376</v>
      </c>
      <c r="G38" s="6">
        <f>+'2005'!G38</f>
        <v>0.89706382496315606</v>
      </c>
      <c r="H38" s="6">
        <f>+'2006'!G38</f>
        <v>0.81725507028651145</v>
      </c>
      <c r="I38" s="6">
        <f>+'2007'!G38</f>
        <v>0.96303501945525294</v>
      </c>
      <c r="J38" s="6">
        <f>+'2008'!G38</f>
        <v>0.63628533395975262</v>
      </c>
      <c r="K38" s="6">
        <f>+'2009'!G38</f>
        <v>0.67880704432691785</v>
      </c>
      <c r="L38" s="6">
        <f>+'2010'!G38</f>
        <v>0.9610728696890577</v>
      </c>
      <c r="M38" s="6">
        <f>+'2011'!G38</f>
        <v>0.90997170539312355</v>
      </c>
      <c r="N38" s="6">
        <f>+'2012'!G38</f>
        <v>0.90348614693402118</v>
      </c>
      <c r="O38" s="6">
        <f>+'2013'!G38</f>
        <v>0.9273086242484071</v>
      </c>
      <c r="P38" s="6">
        <f>+'2014'!G38</f>
        <v>1.1497105045492142</v>
      </c>
      <c r="Q38" s="6">
        <f>+'2015'!G38</f>
        <v>1.0753826798070873</v>
      </c>
      <c r="R38" s="6">
        <f>+'2016'!G38</f>
        <v>1.1261107313738892</v>
      </c>
      <c r="S38" s="6">
        <f>+'2017'!G38</f>
        <v>0.97347480106100792</v>
      </c>
      <c r="T38" s="6">
        <f>+'2018'!G38</f>
        <v>1.0503709896540914</v>
      </c>
      <c r="U38" s="6">
        <f>+'2019'!G38</f>
        <v>0.90198823858863064</v>
      </c>
      <c r="V38" s="6">
        <f>+'2020'!G38</f>
        <v>0.75240520656479914</v>
      </c>
      <c r="W38" s="6">
        <f>+'2022'!G38</f>
        <v>0.93223511793335834</v>
      </c>
    </row>
    <row r="39" spans="2:23" ht="15" thickBot="1" x14ac:dyDescent="0.25">
      <c r="B39" s="5" t="s">
        <v>34</v>
      </c>
      <c r="C39" s="6">
        <f>+'2001'!G39</f>
        <v>0.90832220738762792</v>
      </c>
      <c r="D39" s="6">
        <f>+'2002'!G39</f>
        <v>0.96779808529155786</v>
      </c>
      <c r="E39" s="6">
        <f>+'2003'!G39</f>
        <v>0.90790982040504398</v>
      </c>
      <c r="F39" s="6">
        <f>+'2004'!G39</f>
        <v>1.0364225010117361</v>
      </c>
      <c r="G39" s="6">
        <f>+'2005'!G39</f>
        <v>0.97815726767275613</v>
      </c>
      <c r="H39" s="6">
        <f>+'2006'!G39</f>
        <v>0.92832893247831005</v>
      </c>
      <c r="I39" s="6">
        <f>+'2007'!G39</f>
        <v>1.0107482430756511</v>
      </c>
      <c r="J39" s="6">
        <f>+'2008'!G39</f>
        <v>0.84679958027282265</v>
      </c>
      <c r="K39" s="6">
        <f>+'2009'!G39</f>
        <v>0.90897369778236203</v>
      </c>
      <c r="L39" s="6">
        <f>+'2010'!G39</f>
        <v>0.91162790697674423</v>
      </c>
      <c r="M39" s="6">
        <f>+'2011'!G39</f>
        <v>0.90809399477806785</v>
      </c>
      <c r="N39" s="6">
        <f>+'2012'!G39</f>
        <v>0.8156132272917539</v>
      </c>
      <c r="O39" s="6">
        <f>+'2013'!G39</f>
        <v>0.75475923852183646</v>
      </c>
      <c r="P39" s="6">
        <f>+'2014'!G39</f>
        <v>1.1290466622013842</v>
      </c>
      <c r="Q39" s="6">
        <f>+'2015'!G39</f>
        <v>1.3999488229273285</v>
      </c>
      <c r="R39" s="6">
        <f>+'2016'!G39</f>
        <v>1.1421965317919076</v>
      </c>
      <c r="S39" s="6">
        <f>+'2017'!G39</f>
        <v>0.92018244013683015</v>
      </c>
      <c r="T39" s="6">
        <f>+'2018'!G39</f>
        <v>0.96868773128380303</v>
      </c>
      <c r="U39" s="6">
        <f>+'2019'!G39</f>
        <v>0.96072013093289688</v>
      </c>
      <c r="V39" s="6">
        <f>+'2020'!G39</f>
        <v>0.82400229687051396</v>
      </c>
      <c r="W39" s="6">
        <f>+'2022'!G39</f>
        <v>0.89560325067722446</v>
      </c>
    </row>
    <row r="40" spans="2:23" ht="15" thickBot="1" x14ac:dyDescent="0.25">
      <c r="B40" s="5" t="s">
        <v>67</v>
      </c>
      <c r="C40" s="6">
        <f>+'2001'!G40</f>
        <v>0.99702774108322323</v>
      </c>
      <c r="D40" s="6">
        <f>+'2002'!G40</f>
        <v>0.98962386511024647</v>
      </c>
      <c r="E40" s="6">
        <f>+'2003'!G40</f>
        <v>0.96678606317160531</v>
      </c>
      <c r="F40" s="6">
        <f>+'2004'!G40</f>
        <v>1.0250772930264513</v>
      </c>
      <c r="G40" s="6">
        <f>+'2005'!G40</f>
        <v>1.0111298482293423</v>
      </c>
      <c r="H40" s="6">
        <f>+'2006'!G40</f>
        <v>1.0525368837711406</v>
      </c>
      <c r="I40" s="6">
        <f>+'2007'!G40</f>
        <v>1.0127659574468084</v>
      </c>
      <c r="J40" s="6">
        <f>+'2008'!G40</f>
        <v>0.92228784581908607</v>
      </c>
      <c r="K40" s="6">
        <f>+'2009'!G40</f>
        <v>0.96771403862784666</v>
      </c>
      <c r="L40" s="6">
        <f>+'2010'!G40</f>
        <v>0.98091133004926112</v>
      </c>
      <c r="M40" s="6">
        <f>+'2011'!G40</f>
        <v>0.98516579406631766</v>
      </c>
      <c r="N40" s="6">
        <f>+'2012'!G40</f>
        <v>1.0359263657957245</v>
      </c>
      <c r="O40" s="6">
        <f>+'2013'!G40</f>
        <v>0.94338515693751834</v>
      </c>
      <c r="P40" s="6">
        <f>+'2014'!G40</f>
        <v>0.94419465749801634</v>
      </c>
      <c r="Q40" s="6">
        <f>+'2015'!G40</f>
        <v>1.0083657006274276</v>
      </c>
      <c r="R40" s="6">
        <f>+'2016'!G40</f>
        <v>1.0209599027946537</v>
      </c>
      <c r="S40" s="6">
        <f>+'2017'!G40</f>
        <v>0.96272285251215561</v>
      </c>
      <c r="T40" s="6">
        <f>+'2018'!G40</f>
        <v>0.94605116796440492</v>
      </c>
      <c r="U40" s="6">
        <f>+'2019'!G40</f>
        <v>0.9983866630814735</v>
      </c>
      <c r="V40" s="6">
        <f>+'2020'!G40</f>
        <v>0.8501057721365971</v>
      </c>
      <c r="W40" s="6">
        <f>+'2022'!G40</f>
        <v>1.0219532789192232</v>
      </c>
    </row>
    <row r="41" spans="2:23" ht="15" thickBot="1" x14ac:dyDescent="0.25">
      <c r="B41" s="5" t="s">
        <v>31</v>
      </c>
      <c r="C41" s="6">
        <f>+'2001'!G41</f>
        <v>0.88406320541760719</v>
      </c>
      <c r="D41" s="6">
        <f>+'2002'!G41</f>
        <v>0.77998691955526489</v>
      </c>
      <c r="E41" s="6">
        <f>+'2003'!G41</f>
        <v>0.81104672485879847</v>
      </c>
      <c r="F41" s="6">
        <f>+'2004'!G41</f>
        <v>0.92629964481756544</v>
      </c>
      <c r="G41" s="6">
        <f>+'2005'!G41</f>
        <v>0.94435309389874511</v>
      </c>
      <c r="H41" s="6">
        <f>+'2006'!G41</f>
        <v>0.92940270409036452</v>
      </c>
      <c r="I41" s="6">
        <f>+'2007'!G41</f>
        <v>1.0722394220846234</v>
      </c>
      <c r="J41" s="6">
        <f>+'2008'!G41</f>
        <v>0.78116699511609977</v>
      </c>
      <c r="K41" s="6">
        <f>+'2009'!G41</f>
        <v>0.93424001236380494</v>
      </c>
      <c r="L41" s="6">
        <f>+'2010'!G41</f>
        <v>0.94885993485342024</v>
      </c>
      <c r="M41" s="6">
        <f>+'2011'!G41</f>
        <v>0.90144230769230771</v>
      </c>
      <c r="N41" s="6">
        <f>+'2012'!G41</f>
        <v>0.89415943172849255</v>
      </c>
      <c r="O41" s="6">
        <f>+'2013'!G41</f>
        <v>0.83650909090909087</v>
      </c>
      <c r="P41" s="6">
        <f>+'2014'!G41</f>
        <v>0.79947506561679793</v>
      </c>
      <c r="Q41" s="6">
        <f>+'2015'!G41</f>
        <v>0.97835000820075446</v>
      </c>
      <c r="R41" s="6">
        <f>+'2016'!G41</f>
        <v>1.1271933984634355</v>
      </c>
      <c r="S41" s="6">
        <f>+'2017'!G41</f>
        <v>1.0120323203934656</v>
      </c>
      <c r="T41" s="6">
        <f>+'2018'!G41</f>
        <v>0.94238535403392265</v>
      </c>
      <c r="U41" s="6">
        <f>+'2019'!G41</f>
        <v>0.99630086313193589</v>
      </c>
      <c r="V41" s="6">
        <f>+'2020'!G41</f>
        <v>0.88809340235708778</v>
      </c>
      <c r="W41" s="6">
        <f>+'2022'!G41</f>
        <v>0.97379789631855751</v>
      </c>
    </row>
    <row r="42" spans="2:23" ht="15" thickBot="1" x14ac:dyDescent="0.25">
      <c r="B42" s="5" t="s">
        <v>68</v>
      </c>
      <c r="C42" s="6">
        <f>+'2001'!G42</f>
        <v>0.78723404255319152</v>
      </c>
      <c r="D42" s="6">
        <f>+'2002'!G42</f>
        <v>0.84619988031119087</v>
      </c>
      <c r="E42" s="6">
        <f>+'2003'!G42</f>
        <v>1.0364312267657994</v>
      </c>
      <c r="F42" s="6">
        <f>+'2004'!G42</f>
        <v>1.2335143522110164</v>
      </c>
      <c r="G42" s="6">
        <f>+'2005'!G42</f>
        <v>1.0705663881151346</v>
      </c>
      <c r="H42" s="6">
        <f>+'2006'!G42</f>
        <v>0.96786757546251212</v>
      </c>
      <c r="I42" s="6">
        <f>+'2007'!G42</f>
        <v>0.94043887147335425</v>
      </c>
      <c r="J42" s="6">
        <f>+'2008'!G42</f>
        <v>0.7918367346938775</v>
      </c>
      <c r="K42" s="6">
        <f>+'2009'!G42</f>
        <v>0.95029673590504449</v>
      </c>
      <c r="L42" s="6">
        <f>+'2010'!G42</f>
        <v>1.1895664952240999</v>
      </c>
      <c r="M42" s="6">
        <f>+'2011'!G42</f>
        <v>0.99932249322493227</v>
      </c>
      <c r="N42" s="6">
        <f>+'2012'!G42</f>
        <v>1.0263984915147706</v>
      </c>
      <c r="O42" s="6">
        <f>+'2013'!G42</f>
        <v>1.0071151358344115</v>
      </c>
      <c r="P42" s="6">
        <f>+'2014'!G42</f>
        <v>0.94897959183673475</v>
      </c>
      <c r="Q42" s="6">
        <f>+'2015'!G42</f>
        <v>0.95526914329037149</v>
      </c>
      <c r="R42" s="6">
        <f>+'2016'!G42</f>
        <v>0.99484092863284612</v>
      </c>
      <c r="S42" s="6">
        <f>+'2017'!G42</f>
        <v>0.92751235584843494</v>
      </c>
      <c r="T42" s="6">
        <f>+'2018'!G42</f>
        <v>0.92957746478873238</v>
      </c>
      <c r="U42" s="6">
        <f>+'2019'!G42</f>
        <v>0.84548335974643418</v>
      </c>
      <c r="V42" s="6">
        <f>+'2020'!G42</f>
        <v>0.57887013939838594</v>
      </c>
      <c r="W42" s="6">
        <f>+'2022'!G42</f>
        <v>0.76017130620985007</v>
      </c>
    </row>
    <row r="43" spans="2:23" ht="15" thickBot="1" x14ac:dyDescent="0.25">
      <c r="B43" s="5" t="s">
        <v>69</v>
      </c>
      <c r="C43" s="6">
        <f>+'2001'!G43</f>
        <v>1.0975581795253926</v>
      </c>
      <c r="D43" s="6">
        <f>+'2002'!G43</f>
        <v>0.8933575978161965</v>
      </c>
      <c r="E43" s="6">
        <f>+'2003'!G43</f>
        <v>0.8628357167771189</v>
      </c>
      <c r="F43" s="6">
        <f>+'2004'!G43</f>
        <v>0.87930561900411142</v>
      </c>
      <c r="G43" s="6">
        <f>+'2005'!G43</f>
        <v>0.87265790589232728</v>
      </c>
      <c r="H43" s="6">
        <f>+'2006'!G43</f>
        <v>0.98012662680267326</v>
      </c>
      <c r="I43" s="6">
        <f>+'2007'!G43</f>
        <v>1.0149328859060402</v>
      </c>
      <c r="J43" s="6">
        <f>+'2008'!G43</f>
        <v>0.94331589830920815</v>
      </c>
      <c r="K43" s="6">
        <f>+'2009'!G43</f>
        <v>1.0835890593729154</v>
      </c>
      <c r="L43" s="6">
        <f>+'2010'!G43</f>
        <v>1.0224391566673445</v>
      </c>
      <c r="M43" s="6">
        <f>+'2011'!G43</f>
        <v>0.98167048531555923</v>
      </c>
      <c r="N43" s="6">
        <f>+'2012'!G43</f>
        <v>0.98916887709991164</v>
      </c>
      <c r="O43" s="6">
        <f>+'2013'!G43</f>
        <v>0.91769605421048916</v>
      </c>
      <c r="P43" s="6">
        <f>+'2014'!G43</f>
        <v>1.0752971205232511</v>
      </c>
      <c r="Q43" s="6">
        <f>+'2015'!G43</f>
        <v>1.0593345353220784</v>
      </c>
      <c r="R43" s="6">
        <f>+'2016'!G43</f>
        <v>1.0827847267939434</v>
      </c>
      <c r="S43" s="6">
        <f>+'2017'!G43</f>
        <v>1.0226213221245701</v>
      </c>
      <c r="T43" s="6">
        <f>+'2018'!G43</f>
        <v>0.96793692509855456</v>
      </c>
      <c r="U43" s="6">
        <f>+'2019'!G43</f>
        <v>0.85853764374050767</v>
      </c>
      <c r="V43" s="6">
        <f>+'2020'!G43</f>
        <v>0.81598141095978827</v>
      </c>
      <c r="W43" s="6">
        <f>+'2022'!G43</f>
        <v>1.0075243163883281</v>
      </c>
    </row>
    <row r="44" spans="2:23" ht="15" thickBot="1" x14ac:dyDescent="0.25">
      <c r="B44" s="5" t="s">
        <v>70</v>
      </c>
      <c r="C44" s="6">
        <f>+'2001'!G44</f>
        <v>1.012715033657442</v>
      </c>
      <c r="D44" s="6">
        <f>+'2002'!G44</f>
        <v>0.94960362400906007</v>
      </c>
      <c r="E44" s="6">
        <f>+'2003'!G44</f>
        <v>0.97857248411408304</v>
      </c>
      <c r="F44" s="6">
        <f>+'2004'!G44</f>
        <v>0.8705357142857143</v>
      </c>
      <c r="G44" s="6">
        <f>+'2005'!G44</f>
        <v>0.96145847774850968</v>
      </c>
      <c r="H44" s="6">
        <f>+'2006'!G44</f>
        <v>0.96866840731070492</v>
      </c>
      <c r="I44" s="6">
        <f>+'2007'!G44</f>
        <v>1.0288933834151979</v>
      </c>
      <c r="J44" s="6">
        <f>+'2008'!G44</f>
        <v>0.92021466905187832</v>
      </c>
      <c r="K44" s="6">
        <f>+'2009'!G44</f>
        <v>0.88952502120441057</v>
      </c>
      <c r="L44" s="6">
        <f>+'2010'!G44</f>
        <v>0.90426311930449355</v>
      </c>
      <c r="M44" s="6">
        <f>+'2011'!G44</f>
        <v>0.9108921161825726</v>
      </c>
      <c r="N44" s="6">
        <f>+'2012'!G44</f>
        <v>0.91101268371250255</v>
      </c>
      <c r="O44" s="6">
        <f>+'2013'!G44</f>
        <v>0.91782304891250865</v>
      </c>
      <c r="P44" s="6">
        <f>+'2014'!G44</f>
        <v>1.0197102066908161</v>
      </c>
      <c r="Q44" s="6">
        <f>+'2015'!G44</f>
        <v>1.1185993975903614</v>
      </c>
      <c r="R44" s="6">
        <f>+'2016'!G44</f>
        <v>0.97785079712790557</v>
      </c>
      <c r="S44" s="6">
        <f>+'2017'!G44</f>
        <v>1.0065056924809208</v>
      </c>
      <c r="T44" s="6">
        <f>+'2018'!G44</f>
        <v>0.8611884303521723</v>
      </c>
      <c r="U44" s="6">
        <f>+'2019'!G44</f>
        <v>0.94538288288288286</v>
      </c>
      <c r="V44" s="6">
        <f>+'2020'!G44</f>
        <v>0.87758130332632622</v>
      </c>
      <c r="W44" s="6">
        <f>+'2022'!G44</f>
        <v>0.98525963149078732</v>
      </c>
    </row>
    <row r="45" spans="2:23" ht="15" thickBot="1" x14ac:dyDescent="0.25">
      <c r="B45" s="5" t="s">
        <v>71</v>
      </c>
      <c r="C45" s="6">
        <f>+'2001'!G45</f>
        <v>0.92100065832784728</v>
      </c>
      <c r="D45" s="6">
        <f>+'2002'!G45</f>
        <v>0.61376936316695352</v>
      </c>
      <c r="E45" s="6">
        <f>+'2003'!G45</f>
        <v>0.78705828361633778</v>
      </c>
      <c r="F45" s="6">
        <f>+'2004'!G45</f>
        <v>0.7214137214137214</v>
      </c>
      <c r="G45" s="6">
        <f>+'2005'!G45</f>
        <v>0.71758072783188109</v>
      </c>
      <c r="H45" s="6">
        <f>+'2006'!G45</f>
        <v>0.76572327044025157</v>
      </c>
      <c r="I45" s="6">
        <f>+'2007'!G45</f>
        <v>0.90572585309427411</v>
      </c>
      <c r="J45" s="6">
        <f>+'2008'!G45</f>
        <v>0.85433070866141736</v>
      </c>
      <c r="K45" s="6">
        <f>+'2009'!G45</f>
        <v>0.86908447589562143</v>
      </c>
      <c r="L45" s="6">
        <f>+'2010'!G45</f>
        <v>0.97952961672473871</v>
      </c>
      <c r="M45" s="6">
        <f>+'2011'!G45</f>
        <v>0.84163090128755369</v>
      </c>
      <c r="N45" s="6">
        <f>+'2012'!G45</f>
        <v>0.71445929526123941</v>
      </c>
      <c r="O45" s="6">
        <f>+'2013'!G45</f>
        <v>0.73759791122715401</v>
      </c>
      <c r="P45" s="6">
        <f>+'2014'!G45</f>
        <v>0.82118863049095603</v>
      </c>
      <c r="Q45" s="6">
        <f>+'2015'!G45</f>
        <v>0.82244071717755929</v>
      </c>
      <c r="R45" s="6">
        <f>+'2016'!G45</f>
        <v>0.84908053265694361</v>
      </c>
      <c r="S45" s="6">
        <f>+'2017'!G45</f>
        <v>0.78130409694171954</v>
      </c>
      <c r="T45" s="6">
        <f>+'2018'!G45</f>
        <v>0.84739387426114987</v>
      </c>
      <c r="U45" s="6">
        <f>+'2019'!G45</f>
        <v>0.78366111951588502</v>
      </c>
      <c r="V45" s="6">
        <f>+'2020'!G45</f>
        <v>0.68599562363238509</v>
      </c>
      <c r="W45" s="6">
        <f>+'2022'!G45</f>
        <v>0.91678975873953716</v>
      </c>
    </row>
    <row r="46" spans="2:23" ht="15" thickBot="1" x14ac:dyDescent="0.25">
      <c r="B46" s="5" t="s">
        <v>72</v>
      </c>
      <c r="C46" s="6">
        <f>+'2001'!G46</f>
        <v>0.70333912372128937</v>
      </c>
      <c r="D46" s="6">
        <f>+'2002'!G46</f>
        <v>0.65453125000000001</v>
      </c>
      <c r="E46" s="6">
        <f>+'2003'!G46</f>
        <v>1.0570708228283292</v>
      </c>
      <c r="F46" s="6">
        <f>+'2004'!G46</f>
        <v>0.8208570903071547</v>
      </c>
      <c r="G46" s="6">
        <f>+'2005'!G46</f>
        <v>0.87007087043430853</v>
      </c>
      <c r="H46" s="6">
        <f>+'2006'!G46</f>
        <v>0.7605757416183957</v>
      </c>
      <c r="I46" s="6">
        <f>+'2007'!G46</f>
        <v>0.77898039215686277</v>
      </c>
      <c r="J46" s="6">
        <f>+'2008'!G46</f>
        <v>0.90822979456267683</v>
      </c>
      <c r="K46" s="6">
        <f>+'2009'!G46</f>
        <v>1.1332470892626132</v>
      </c>
      <c r="L46" s="6">
        <f>+'2010'!G46</f>
        <v>0.95242548217416712</v>
      </c>
      <c r="M46" s="6">
        <f>+'2011'!G46</f>
        <v>0.91629317163195356</v>
      </c>
      <c r="N46" s="6">
        <f>+'2012'!G46</f>
        <v>0.88783649052841473</v>
      </c>
      <c r="O46" s="6">
        <f>+'2013'!G46</f>
        <v>0.78864318257584176</v>
      </c>
      <c r="P46" s="6">
        <f>+'2014'!G46</f>
        <v>1.0227841432898723</v>
      </c>
      <c r="Q46" s="6">
        <f>+'2015'!G46</f>
        <v>1.1982053312219583</v>
      </c>
      <c r="R46" s="6">
        <f>+'2016'!G46</f>
        <v>0.95547652916073966</v>
      </c>
      <c r="S46" s="6">
        <f>+'2017'!G46</f>
        <v>0.86287141730212991</v>
      </c>
      <c r="T46" s="6">
        <f>+'2018'!G46</f>
        <v>0.87996649114408809</v>
      </c>
      <c r="U46" s="6">
        <f>+'2019'!G46</f>
        <v>0.82469793159942661</v>
      </c>
      <c r="V46" s="6">
        <f>+'2020'!G46</f>
        <v>0.8218727998122507</v>
      </c>
      <c r="W46" s="6">
        <f>+'2022'!G46</f>
        <v>1.0432143224611585</v>
      </c>
    </row>
    <row r="47" spans="2:23" ht="15" thickBot="1" x14ac:dyDescent="0.25">
      <c r="B47" s="5" t="s">
        <v>5</v>
      </c>
      <c r="C47" s="6">
        <f>+'2001'!G47</f>
        <v>0.88843274571359576</v>
      </c>
      <c r="D47" s="6">
        <f>+'2002'!G47</f>
        <v>0.90168776371308013</v>
      </c>
      <c r="E47" s="6">
        <f>+'2003'!G47</f>
        <v>0.90691964285714288</v>
      </c>
      <c r="F47" s="6">
        <f>+'2004'!G47</f>
        <v>0.92599711677078322</v>
      </c>
      <c r="G47" s="6">
        <f>+'2005'!G47</f>
        <v>0.94589228096301814</v>
      </c>
      <c r="H47" s="6">
        <f>+'2006'!G47</f>
        <v>1.0590841949778433</v>
      </c>
      <c r="I47" s="6">
        <f>+'2007'!G47</f>
        <v>0.95663206459054206</v>
      </c>
      <c r="J47" s="6">
        <f>+'2008'!G47</f>
        <v>0.80018832391713746</v>
      </c>
      <c r="K47" s="6">
        <f>+'2009'!G47</f>
        <v>0.82019085886489207</v>
      </c>
      <c r="L47" s="6">
        <f>+'2010'!G47</f>
        <v>0.92670157068062831</v>
      </c>
      <c r="M47" s="6">
        <f>+'2011'!G47</f>
        <v>0.94789379117588346</v>
      </c>
      <c r="N47" s="6">
        <f>+'2012'!G47</f>
        <v>1.0224952741020794</v>
      </c>
      <c r="O47" s="6">
        <f>+'2013'!G47</f>
        <v>0.82816901408450705</v>
      </c>
      <c r="P47" s="6">
        <f>+'2014'!G47</f>
        <v>1.0754912099276113</v>
      </c>
      <c r="Q47" s="6">
        <f>+'2015'!G47</f>
        <v>1.1023335474202527</v>
      </c>
      <c r="R47" s="6">
        <f>+'2016'!G47</f>
        <v>1.1017612524461839</v>
      </c>
      <c r="S47" s="6">
        <f>+'2017'!G47</f>
        <v>0.9519725557461407</v>
      </c>
      <c r="T47" s="6">
        <f>+'2018'!G47</f>
        <v>0.9183194711025805</v>
      </c>
      <c r="U47" s="6">
        <f>+'2019'!G47</f>
        <v>0.86727646070561881</v>
      </c>
      <c r="V47" s="6">
        <f>+'2020'!G47</f>
        <v>0.78352044058462189</v>
      </c>
      <c r="W47" s="6">
        <f>+'2022'!G47</f>
        <v>1.0025169409486931</v>
      </c>
    </row>
    <row r="48" spans="2:23" ht="15" thickBot="1" x14ac:dyDescent="0.25">
      <c r="B48" s="5" t="s">
        <v>73</v>
      </c>
      <c r="C48" s="6">
        <f>+'2001'!G48</f>
        <v>0.89918256130790186</v>
      </c>
      <c r="D48" s="6">
        <f>+'2002'!G48</f>
        <v>1.1345132743362831</v>
      </c>
      <c r="E48" s="6">
        <f>+'2003'!G48</f>
        <v>1.0429252782193958</v>
      </c>
      <c r="F48" s="6">
        <f>+'2004'!G48</f>
        <v>0.87857142857142856</v>
      </c>
      <c r="G48" s="6">
        <f>+'2005'!G48</f>
        <v>0.86976047904191611</v>
      </c>
      <c r="H48" s="6">
        <f>+'2006'!G48</f>
        <v>0.99097472924187724</v>
      </c>
      <c r="I48" s="6">
        <f>+'2007'!G48</f>
        <v>0.88378766140602583</v>
      </c>
      <c r="J48" s="6">
        <f>+'2008'!G48</f>
        <v>0.81287246722288442</v>
      </c>
      <c r="K48" s="6">
        <f>+'2009'!G48</f>
        <v>0.91448931116389554</v>
      </c>
      <c r="L48" s="6">
        <f>+'2010'!G48</f>
        <v>0.95104895104895104</v>
      </c>
      <c r="M48" s="6">
        <f>+'2011'!G48</f>
        <v>0.90961098398169338</v>
      </c>
      <c r="N48" s="6">
        <f>+'2012'!G48</f>
        <v>0.95929018789144049</v>
      </c>
      <c r="O48" s="6">
        <f>+'2013'!G48</f>
        <v>0.70159262363788766</v>
      </c>
      <c r="P48" s="6">
        <f>+'2014'!G48</f>
        <v>1.3899755501222495</v>
      </c>
      <c r="Q48" s="6">
        <f>+'2015'!G48</f>
        <v>1.1806930693069306</v>
      </c>
      <c r="R48" s="6">
        <f>+'2016'!G48</f>
        <v>0.99353169469598968</v>
      </c>
      <c r="S48" s="6">
        <f>+'2017'!G48</f>
        <v>0.88645161290322583</v>
      </c>
      <c r="T48" s="6">
        <f>+'2018'!G48</f>
        <v>0.84157160963244615</v>
      </c>
      <c r="U48" s="6">
        <f>+'2019'!G48</f>
        <v>0.82996432818073718</v>
      </c>
      <c r="V48" s="6">
        <f>+'2020'!G48</f>
        <v>0.66195652173913044</v>
      </c>
      <c r="W48" s="6">
        <f>+'2022'!G48</f>
        <v>1.1930164888457808</v>
      </c>
    </row>
    <row r="49" spans="2:23" ht="15" thickBot="1" x14ac:dyDescent="0.25">
      <c r="B49" s="5" t="s">
        <v>74</v>
      </c>
      <c r="C49" s="6">
        <f>+'2001'!G49</f>
        <v>0.99572274621627554</v>
      </c>
      <c r="D49" s="6">
        <f>+'2002'!G49</f>
        <v>0.98816101026045777</v>
      </c>
      <c r="E49" s="6">
        <f>+'2003'!G49</f>
        <v>0.96767909324360224</v>
      </c>
      <c r="F49" s="6">
        <f>+'2004'!G49</f>
        <v>1.0766214177978883</v>
      </c>
      <c r="G49" s="6">
        <f>+'2005'!G49</f>
        <v>0.98135627945093218</v>
      </c>
      <c r="H49" s="6">
        <f>+'2006'!G49</f>
        <v>1.0816812913010507</v>
      </c>
      <c r="I49" s="6">
        <f>+'2007'!G49</f>
        <v>1.0390121298218773</v>
      </c>
      <c r="J49" s="6">
        <f>+'2008'!G49</f>
        <v>0.82305461954392289</v>
      </c>
      <c r="K49" s="6">
        <f>+'2009'!G49</f>
        <v>0.83776860680233389</v>
      </c>
      <c r="L49" s="6">
        <f>+'2010'!G49</f>
        <v>0.86678726483357449</v>
      </c>
      <c r="M49" s="6">
        <f>+'2011'!G49</f>
        <v>0.79296346414073071</v>
      </c>
      <c r="N49" s="6">
        <f>+'2012'!G49</f>
        <v>0.81822067533736342</v>
      </c>
      <c r="O49" s="6">
        <f>+'2013'!G49</f>
        <v>0.70867825228879999</v>
      </c>
      <c r="P49" s="6">
        <f>+'2014'!G49</f>
        <v>0.9016382014639247</v>
      </c>
      <c r="Q49" s="6">
        <f>+'2015'!G49</f>
        <v>1.0765531979850405</v>
      </c>
      <c r="R49" s="6">
        <f>+'2016'!G49</f>
        <v>1.0020358920223194</v>
      </c>
      <c r="S49" s="6">
        <f>+'2017'!G49</f>
        <v>1.1059175685010361</v>
      </c>
      <c r="T49" s="6">
        <f>+'2018'!G49</f>
        <v>0.92732641889945255</v>
      </c>
      <c r="U49" s="6">
        <f>+'2019'!G49</f>
        <v>0.84042179261862915</v>
      </c>
      <c r="V49" s="6">
        <f>+'2020'!G49</f>
        <v>0.8131176999101527</v>
      </c>
      <c r="W49" s="6">
        <f>+'2022'!G49</f>
        <v>0.99067471201316515</v>
      </c>
    </row>
    <row r="50" spans="2:23" ht="15" thickBot="1" x14ac:dyDescent="0.25">
      <c r="B50" s="5" t="s">
        <v>75</v>
      </c>
      <c r="C50" s="6">
        <f>+'2001'!G50</f>
        <v>0.9616724738675958</v>
      </c>
      <c r="D50" s="6">
        <f>+'2002'!G50</f>
        <v>0.9211538461538461</v>
      </c>
      <c r="E50" s="6">
        <f>+'2003'!G50</f>
        <v>1.1286863270777481</v>
      </c>
      <c r="F50" s="6">
        <f>+'2004'!G50</f>
        <v>0.72222222222222221</v>
      </c>
      <c r="G50" s="6">
        <f>+'2005'!G50</f>
        <v>0.77439024390243905</v>
      </c>
      <c r="H50" s="6">
        <f>+'2006'!G50</f>
        <v>0.96209386281588449</v>
      </c>
      <c r="I50" s="6">
        <f>+'2007'!G50</f>
        <v>1.0895196506550218</v>
      </c>
      <c r="J50" s="6">
        <f>+'2008'!G50</f>
        <v>0.87441860465116283</v>
      </c>
      <c r="K50" s="6">
        <f>+'2009'!G50</f>
        <v>0.86363636363636365</v>
      </c>
      <c r="L50" s="6">
        <f>+'2010'!G50</f>
        <v>0.78378378378378377</v>
      </c>
      <c r="M50" s="6">
        <f>+'2011'!G50</f>
        <v>0.66990291262135926</v>
      </c>
      <c r="N50" s="6">
        <f>+'2012'!G50</f>
        <v>1.023076923076923</v>
      </c>
      <c r="O50" s="6">
        <f>+'2013'!G50</f>
        <v>0.69595782073813706</v>
      </c>
      <c r="P50" s="6">
        <f>+'2014'!G50</f>
        <v>0.72852233676975942</v>
      </c>
      <c r="Q50" s="6">
        <f>+'2015'!G50</f>
        <v>0.75685557586837293</v>
      </c>
      <c r="R50" s="6">
        <f>+'2016'!G50</f>
        <v>1.1623529411764706</v>
      </c>
      <c r="S50" s="6">
        <f>+'2017'!G50</f>
        <v>1.0902061855670102</v>
      </c>
      <c r="T50" s="6">
        <f>+'2018'!G50</f>
        <v>0.88911704312114992</v>
      </c>
      <c r="U50" s="6">
        <f>+'2019'!G50</f>
        <v>1.0652173913043479</v>
      </c>
      <c r="V50" s="6">
        <f>+'2020'!G50</f>
        <v>0.72154963680387407</v>
      </c>
      <c r="W50" s="6">
        <f>+'2022'!G50</f>
        <v>1.0452674897119341</v>
      </c>
    </row>
    <row r="51" spans="2:23" ht="15" thickBot="1" x14ac:dyDescent="0.25">
      <c r="B51" s="5" t="s">
        <v>76</v>
      </c>
      <c r="C51" s="6">
        <f>+'2001'!G51</f>
        <v>0.93118383060635224</v>
      </c>
      <c r="D51" s="6">
        <f>+'2002'!G51</f>
        <v>1.0343627664201827</v>
      </c>
      <c r="E51" s="6">
        <f>+'2003'!G51</f>
        <v>1.1522896698615548</v>
      </c>
      <c r="F51" s="6">
        <f>+'2004'!G51</f>
        <v>0.93043478260869561</v>
      </c>
      <c r="G51" s="6">
        <f>+'2005'!G51</f>
        <v>0.97679400214209211</v>
      </c>
      <c r="H51" s="6">
        <f>+'2006'!G51</f>
        <v>0.96232996163236828</v>
      </c>
      <c r="I51" s="6">
        <f>+'2007'!G51</f>
        <v>0.90622286541244568</v>
      </c>
      <c r="J51" s="6">
        <f>+'2008'!G51</f>
        <v>0.66898194086128204</v>
      </c>
      <c r="K51" s="6">
        <f>+'2009'!G51</f>
        <v>0.71425781249999998</v>
      </c>
      <c r="L51" s="6">
        <f>+'2010'!G51</f>
        <v>0.84725822532402795</v>
      </c>
      <c r="M51" s="6">
        <f>+'2011'!G51</f>
        <v>0.90154738878143137</v>
      </c>
      <c r="N51" s="6">
        <f>+'2012'!G51</f>
        <v>1.0798261213198972</v>
      </c>
      <c r="O51" s="6">
        <f>+'2013'!G51</f>
        <v>1.0149073327961322</v>
      </c>
      <c r="P51" s="6">
        <f>+'2014'!G51</f>
        <v>1.0915553640672124</v>
      </c>
      <c r="Q51" s="6">
        <f>+'2015'!G51</f>
        <v>1.0546571136131013</v>
      </c>
      <c r="R51" s="6">
        <f>+'2016'!G51</f>
        <v>1.1252036304398418</v>
      </c>
      <c r="S51" s="6">
        <f>+'2017'!G51</f>
        <v>0.97617977528089883</v>
      </c>
      <c r="T51" s="6">
        <f>+'2018'!G51</f>
        <v>0.95678246484698093</v>
      </c>
      <c r="U51" s="6">
        <f>+'2019'!G51</f>
        <v>0.88455103179029559</v>
      </c>
      <c r="V51" s="6">
        <f>+'2020'!G51</f>
        <v>0.80919340849956634</v>
      </c>
      <c r="W51" s="6">
        <f>+'2022'!G51</f>
        <v>0.89328207944352922</v>
      </c>
    </row>
    <row r="52" spans="2:23" ht="15" thickBot="1" x14ac:dyDescent="0.25">
      <c r="B52" s="5" t="s">
        <v>77</v>
      </c>
      <c r="C52" s="6">
        <f>+'2001'!G52</f>
        <v>1.1374407582938388</v>
      </c>
      <c r="D52" s="6">
        <f>+'2002'!G52</f>
        <v>0.81601362862010218</v>
      </c>
      <c r="E52" s="6">
        <f>+'2003'!G52</f>
        <v>1.0040983606557377</v>
      </c>
      <c r="F52" s="6">
        <f>+'2004'!G52</f>
        <v>1.2383720930232558</v>
      </c>
      <c r="G52" s="6">
        <f>+'2005'!G52</f>
        <v>0.75350140056022408</v>
      </c>
      <c r="H52" s="6">
        <f>+'2006'!G52</f>
        <v>0.79052369077306728</v>
      </c>
      <c r="I52" s="6">
        <f>+'2007'!G52</f>
        <v>0.6324110671936759</v>
      </c>
      <c r="J52" s="6">
        <f>+'2008'!G52</f>
        <v>1.3444976076555024</v>
      </c>
      <c r="K52" s="6">
        <f>+'2009'!G52</f>
        <v>1.1083333333333334</v>
      </c>
      <c r="L52" s="6">
        <f>+'2010'!G52</f>
        <v>1.1254752851711027</v>
      </c>
      <c r="M52" s="6">
        <f>+'2011'!G52</f>
        <v>1.0405405405405406</v>
      </c>
      <c r="N52" s="6">
        <f>+'2012'!G52</f>
        <v>0.97693574958813834</v>
      </c>
      <c r="O52" s="6">
        <f>+'2013'!G52</f>
        <v>0.92868719611021067</v>
      </c>
      <c r="P52" s="6">
        <f>+'2014'!G52</f>
        <v>1.0307328605200945</v>
      </c>
      <c r="Q52" s="6">
        <f>+'2015'!G52</f>
        <v>0.98267326732673266</v>
      </c>
      <c r="R52" s="6">
        <f>+'2016'!G52</f>
        <v>0.76485148514851486</v>
      </c>
      <c r="S52" s="6">
        <f>+'2017'!G52</f>
        <v>0.90566037735849059</v>
      </c>
      <c r="T52" s="6">
        <f>+'2018'!G52</f>
        <v>0.78026905829596416</v>
      </c>
      <c r="U52" s="6">
        <f>+'2019'!G52</f>
        <v>0.62593984962406013</v>
      </c>
      <c r="V52" s="6">
        <f>+'2020'!G52</f>
        <v>0.71144278606965172</v>
      </c>
      <c r="W52" s="6">
        <f>+'2022'!G52</f>
        <v>1.0421348314606742</v>
      </c>
    </row>
    <row r="53" spans="2:23" ht="15" thickBot="1" x14ac:dyDescent="0.25">
      <c r="B53" s="5" t="s">
        <v>78</v>
      </c>
      <c r="C53" s="6">
        <f>+'2001'!G53</f>
        <v>0.98924205378973107</v>
      </c>
      <c r="D53" s="6">
        <f>+'2002'!G53</f>
        <v>0.81693605059732954</v>
      </c>
      <c r="E53" s="6">
        <f>+'2003'!G53</f>
        <v>1.0584636301835486</v>
      </c>
      <c r="F53" s="6">
        <f>+'2004'!G53</f>
        <v>1.04293688278231</v>
      </c>
      <c r="G53" s="6">
        <f>+'2005'!G53</f>
        <v>1.0249895876718034</v>
      </c>
      <c r="H53" s="6">
        <f>+'2006'!G53</f>
        <v>0.95028524857375718</v>
      </c>
      <c r="I53" s="6">
        <f>+'2007'!G53</f>
        <v>0.99307159353348728</v>
      </c>
      <c r="J53" s="6">
        <f>+'2008'!G53</f>
        <v>0.65406976744186052</v>
      </c>
      <c r="K53" s="6">
        <f>+'2009'!G53</f>
        <v>0.70387288977159879</v>
      </c>
      <c r="L53" s="6">
        <f>+'2010'!G53</f>
        <v>0.79809425701776981</v>
      </c>
      <c r="M53" s="6">
        <f>+'2011'!G53</f>
        <v>0.69813986343301149</v>
      </c>
      <c r="N53" s="6">
        <f>+'2012'!G53</f>
        <v>0.65589549673427294</v>
      </c>
      <c r="O53" s="6">
        <f>+'2013'!G53</f>
        <v>1.0861086765994741</v>
      </c>
      <c r="P53" s="6">
        <f>+'2014'!G53</f>
        <v>1.1849255039439088</v>
      </c>
      <c r="Q53" s="6">
        <f>+'2015'!G53</f>
        <v>1.011731843575419</v>
      </c>
      <c r="R53" s="6">
        <f>+'2016'!G53</f>
        <v>1.147098976109215</v>
      </c>
      <c r="S53" s="6">
        <f>+'2017'!G53</f>
        <v>0.97153465346534651</v>
      </c>
      <c r="T53" s="6">
        <f>+'2018'!G53</f>
        <v>0.81603117172279427</v>
      </c>
      <c r="U53" s="6">
        <f>+'2019'!G53</f>
        <v>0.96624136097820312</v>
      </c>
      <c r="V53" s="6">
        <f>+'2020'!G53</f>
        <v>0.92547864506627397</v>
      </c>
      <c r="W53" s="6">
        <f>+'2022'!G53</f>
        <v>1.1208619612742037</v>
      </c>
    </row>
    <row r="54" spans="2:23" ht="15" thickBot="1" x14ac:dyDescent="0.25">
      <c r="B54" s="5" t="s">
        <v>79</v>
      </c>
      <c r="C54" s="6">
        <f>+'2001'!G54</f>
        <v>0.75032914422501495</v>
      </c>
      <c r="D54" s="6">
        <f>+'2002'!G54</f>
        <v>0.72214976632974681</v>
      </c>
      <c r="E54" s="6">
        <f>+'2003'!G54</f>
        <v>0.74097245088354735</v>
      </c>
      <c r="F54" s="6">
        <f>+'2004'!G54</f>
        <v>0.89977596981488028</v>
      </c>
      <c r="G54" s="6">
        <f>+'2005'!G54</f>
        <v>0.91334383711065326</v>
      </c>
      <c r="H54" s="6">
        <f>+'2006'!G54</f>
        <v>0.92427562697832966</v>
      </c>
      <c r="I54" s="6">
        <f>+'2007'!G54</f>
        <v>0.89728172366278347</v>
      </c>
      <c r="J54" s="6">
        <f>+'2008'!G54</f>
        <v>0.72136355016119857</v>
      </c>
      <c r="K54" s="6">
        <f>+'2009'!G54</f>
        <v>0.59372206928604632</v>
      </c>
      <c r="L54" s="6">
        <f>+'2010'!G54</f>
        <v>0.76741445347026394</v>
      </c>
      <c r="M54" s="6">
        <f>+'2011'!G54</f>
        <v>0.74189825091005945</v>
      </c>
      <c r="N54" s="6">
        <f>+'2012'!G54</f>
        <v>0.75649851879667873</v>
      </c>
      <c r="O54" s="6">
        <f>+'2013'!G54</f>
        <v>0.78317795732338924</v>
      </c>
      <c r="P54" s="6">
        <f>+'2014'!G54</f>
        <v>0.81709336993043391</v>
      </c>
      <c r="Q54" s="6">
        <f>+'2015'!G54</f>
        <v>0.97388853435439271</v>
      </c>
      <c r="R54" s="6">
        <f>+'2016'!G54</f>
        <v>1.0101981010432539</v>
      </c>
      <c r="S54" s="6">
        <f>+'2017'!G54</f>
        <v>1.02708987327055</v>
      </c>
      <c r="T54" s="6">
        <f>+'2018'!G54</f>
        <v>0.9394360922369055</v>
      </c>
      <c r="U54" s="6">
        <f>+'2019'!G54</f>
        <v>0.93269537480063791</v>
      </c>
      <c r="V54" s="6">
        <f>+'2020'!G54</f>
        <v>0.81162899942585731</v>
      </c>
      <c r="W54" s="6">
        <f>+'2022'!G54</f>
        <v>0.89452383331667829</v>
      </c>
    </row>
    <row r="55" spans="2:23" ht="15" thickBot="1" x14ac:dyDescent="0.25">
      <c r="B55" s="5" t="s">
        <v>80</v>
      </c>
      <c r="C55" s="6">
        <f>+'2001'!G55</f>
        <v>0.92844364937388191</v>
      </c>
      <c r="D55" s="6">
        <f>+'2002'!G55</f>
        <v>0.95621217515129941</v>
      </c>
      <c r="E55" s="6">
        <f>+'2003'!G55</f>
        <v>1.0138932743921691</v>
      </c>
      <c r="F55" s="6">
        <f>+'2004'!G55</f>
        <v>0.99434495758718189</v>
      </c>
      <c r="G55" s="6">
        <f>+'2005'!G55</f>
        <v>0.79747406405051868</v>
      </c>
      <c r="H55" s="6">
        <f>+'2006'!G55</f>
        <v>0.99225286643941746</v>
      </c>
      <c r="I55" s="6">
        <f>+'2007'!G55</f>
        <v>0.85233441910966345</v>
      </c>
      <c r="J55" s="6">
        <f>+'2008'!G55</f>
        <v>0.70511627906976748</v>
      </c>
      <c r="K55" s="6">
        <f>+'2009'!G55</f>
        <v>0.84448305821025194</v>
      </c>
      <c r="L55" s="6">
        <f>+'2010'!G55</f>
        <v>0.90707630319818688</v>
      </c>
      <c r="M55" s="6">
        <f>+'2011'!G55</f>
        <v>1.0958481613285884</v>
      </c>
      <c r="N55" s="6">
        <f>+'2012'!G55</f>
        <v>1.0316040548598688</v>
      </c>
      <c r="O55" s="6">
        <f>+'2013'!G55</f>
        <v>0.95149324709910599</v>
      </c>
      <c r="P55" s="6">
        <f>+'2014'!G55</f>
        <v>1.1430886779347071</v>
      </c>
      <c r="Q55" s="6">
        <f>+'2015'!G55</f>
        <v>1.2967396841569028</v>
      </c>
      <c r="R55" s="6">
        <f>+'2016'!G55</f>
        <v>1.3408395885460105</v>
      </c>
      <c r="S55" s="6">
        <f>+'2017'!G55</f>
        <v>0.84554597701149425</v>
      </c>
      <c r="T55" s="6">
        <f>+'2018'!G55</f>
        <v>0.88566827697262485</v>
      </c>
      <c r="U55" s="6">
        <f>+'2019'!G55</f>
        <v>0.9539612058892265</v>
      </c>
      <c r="V55" s="6">
        <f>+'2020'!G55</f>
        <v>0.78352749932267673</v>
      </c>
      <c r="W55" s="6">
        <f>+'2022'!G55</f>
        <v>0.99388586956521741</v>
      </c>
    </row>
    <row r="56" spans="2:23" ht="15" thickBot="1" x14ac:dyDescent="0.25">
      <c r="B56" s="5" t="s">
        <v>81</v>
      </c>
      <c r="C56" s="6">
        <f>+'2001'!G56</f>
        <v>0.96703767123287676</v>
      </c>
      <c r="D56" s="6">
        <f>+'2002'!G56</f>
        <v>0.87241292276627969</v>
      </c>
      <c r="E56" s="6">
        <f>+'2003'!G56</f>
        <v>0.95927352779306552</v>
      </c>
      <c r="F56" s="6">
        <f>+'2004'!G56</f>
        <v>1.011047126571865</v>
      </c>
      <c r="G56" s="6">
        <f>+'2005'!G56</f>
        <v>0.99269200106298161</v>
      </c>
      <c r="H56" s="6">
        <f>+'2006'!G56</f>
        <v>0.9666375109334</v>
      </c>
      <c r="I56" s="6">
        <f>+'2007'!G56</f>
        <v>1.0689283791060851</v>
      </c>
      <c r="J56" s="6">
        <f>+'2008'!G56</f>
        <v>0.98079189252887111</v>
      </c>
      <c r="K56" s="6">
        <f>+'2009'!G56</f>
        <v>0.91031570480595214</v>
      </c>
      <c r="L56" s="6">
        <f>+'2010'!G56</f>
        <v>0.96333991068646796</v>
      </c>
      <c r="M56" s="6">
        <f>+'2011'!G56</f>
        <v>0.95208489655911677</v>
      </c>
      <c r="N56" s="6">
        <f>+'2012'!G56</f>
        <v>0.90664556962025311</v>
      </c>
      <c r="O56" s="6">
        <f>+'2013'!G56</f>
        <v>0.69825968816717343</v>
      </c>
      <c r="P56" s="6">
        <f>+'2014'!G56</f>
        <v>1.0231840620592383</v>
      </c>
      <c r="Q56" s="6">
        <f>+'2015'!G56</f>
        <v>1.2295908473918946</v>
      </c>
      <c r="R56" s="6">
        <f>+'2016'!G56</f>
        <v>1.1249876786594382</v>
      </c>
      <c r="S56" s="6">
        <f>+'2017'!G56</f>
        <v>0.9330329534411167</v>
      </c>
      <c r="T56" s="6">
        <f>+'2018'!G56</f>
        <v>0.96216500262743032</v>
      </c>
      <c r="U56" s="6">
        <f>+'2019'!G56</f>
        <v>0.96951894423158791</v>
      </c>
      <c r="V56" s="6">
        <f>+'2020'!G56</f>
        <v>0.76359357247200133</v>
      </c>
      <c r="W56" s="6">
        <f>+'2022'!G56</f>
        <v>0.93228706159740637</v>
      </c>
    </row>
    <row r="57" spans="2:23" ht="15" thickBot="1" x14ac:dyDescent="0.25">
      <c r="B57" s="5" t="s">
        <v>82</v>
      </c>
      <c r="C57" s="6">
        <f>+'2001'!G57</f>
        <v>0.78657718120805364</v>
      </c>
      <c r="D57" s="6">
        <f>+'2002'!G57</f>
        <v>0.54296875</v>
      </c>
      <c r="E57" s="6">
        <f>+'2003'!G57</f>
        <v>0.91795366795366795</v>
      </c>
      <c r="F57" s="6">
        <f>+'2004'!G57</f>
        <v>0.69584438549955796</v>
      </c>
      <c r="G57" s="6">
        <f>+'2005'!G57</f>
        <v>0.58411949685534592</v>
      </c>
      <c r="H57" s="6">
        <f>+'2006'!G57</f>
        <v>0.77101769911504425</v>
      </c>
      <c r="I57" s="6">
        <f>+'2007'!G57</f>
        <v>0.79716981132075471</v>
      </c>
      <c r="J57" s="6">
        <f>+'2008'!G57</f>
        <v>0.6343519494204426</v>
      </c>
      <c r="K57" s="6">
        <f>+'2009'!G57</f>
        <v>0.99070945945945943</v>
      </c>
      <c r="L57" s="6">
        <f>+'2010'!G57</f>
        <v>0.8528174936921783</v>
      </c>
      <c r="M57" s="6">
        <f>+'2011'!G57</f>
        <v>0.74036363636363633</v>
      </c>
      <c r="N57" s="6">
        <f>+'2012'!G57</f>
        <v>0.98599852616064854</v>
      </c>
      <c r="O57" s="6">
        <f>+'2013'!G57</f>
        <v>0.8089887640449438</v>
      </c>
      <c r="P57" s="6">
        <f>+'2014'!G57</f>
        <v>0.95947219604147027</v>
      </c>
      <c r="Q57" s="6">
        <f>+'2015'!G57</f>
        <v>0.86074672048435918</v>
      </c>
      <c r="R57" s="6">
        <f>+'2016'!G57</f>
        <v>0.96737907761529807</v>
      </c>
      <c r="S57" s="6">
        <f>+'2017'!G57</f>
        <v>0.77786818551668024</v>
      </c>
      <c r="T57" s="6">
        <f>+'2018'!G57</f>
        <v>0.97586872586872586</v>
      </c>
      <c r="U57" s="6">
        <f>+'2019'!G57</f>
        <v>0.82626427406199021</v>
      </c>
      <c r="V57" s="6">
        <f>+'2020'!G57</f>
        <v>0.70523415977961434</v>
      </c>
      <c r="W57" s="6">
        <f>+'2022'!G57</f>
        <v>1.0376301040832665</v>
      </c>
    </row>
    <row r="58" spans="2:23" ht="15" thickBot="1" x14ac:dyDescent="0.25">
      <c r="B58" s="5" t="s">
        <v>83</v>
      </c>
      <c r="C58" s="6">
        <f>+'2001'!G58</f>
        <v>0.96372334064181786</v>
      </c>
      <c r="D58" s="6">
        <f>+'2002'!G58</f>
        <v>0.42494555201876361</v>
      </c>
      <c r="E58" s="6">
        <f>+'2003'!G58</f>
        <v>0.9662608695652174</v>
      </c>
      <c r="F58" s="6">
        <f>+'2004'!G58</f>
        <v>0.93407580384408118</v>
      </c>
      <c r="G58" s="6">
        <f>+'2005'!G58</f>
        <v>0.98391210515989802</v>
      </c>
      <c r="H58" s="6">
        <f>+'2006'!G58</f>
        <v>1.0540483701366983</v>
      </c>
      <c r="I58" s="6">
        <f>+'2007'!G58</f>
        <v>0.95764167143674872</v>
      </c>
      <c r="J58" s="6">
        <f>+'2008'!G58</f>
        <v>0.89498408849825728</v>
      </c>
      <c r="K58" s="6">
        <f>+'2009'!G58</f>
        <v>0.85117837061849499</v>
      </c>
      <c r="L58" s="6">
        <f>+'2010'!G58</f>
        <v>0.95866349709455889</v>
      </c>
      <c r="M58" s="6">
        <f>+'2011'!G58</f>
        <v>0.86486486486486491</v>
      </c>
      <c r="N58" s="6">
        <f>+'2012'!G58</f>
        <v>0.87704723474958457</v>
      </c>
      <c r="O58" s="6">
        <f>+'2013'!G58</f>
        <v>0.8305821994200312</v>
      </c>
      <c r="P58" s="6">
        <f>+'2014'!G58</f>
        <v>1.0581097478765</v>
      </c>
      <c r="Q58" s="6">
        <f>+'2015'!G58</f>
        <v>1.3036834486086537</v>
      </c>
      <c r="R58" s="6">
        <f>+'2016'!G58</f>
        <v>1.0439987562189055</v>
      </c>
      <c r="S58" s="6">
        <f>+'2017'!G58</f>
        <v>1.0187132694092174</v>
      </c>
      <c r="T58" s="6">
        <f>+'2018'!G58</f>
        <v>0.93240093240093236</v>
      </c>
      <c r="U58" s="6">
        <f>+'2019'!G58</f>
        <v>0.9233217592592593</v>
      </c>
      <c r="V58" s="6">
        <f>+'2020'!G58</f>
        <v>0.93701675257731953</v>
      </c>
      <c r="W58" s="6">
        <f>+'2022'!G58</f>
        <v>1.0741498740554156</v>
      </c>
    </row>
  </sheetData>
  <pageMargins left="0.75" right="0.75" top="1" bottom="1" header="0" footer="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0CB52-3F07-4BB0-A52E-3EC8B6E1844E}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f>[1]Tasas!$B$36</f>
        <v>0.98667887769544582</v>
      </c>
      <c r="D9" s="6">
        <f>[1]Tasas!$B$17</f>
        <v>0.9226756507091235</v>
      </c>
      <c r="E9" s="6">
        <f>[1]Tasas!$B$28</f>
        <v>0.98264576038970919</v>
      </c>
      <c r="F9" s="6">
        <f>[1]Tasas!$B$31</f>
        <v>1.8563447725458899</v>
      </c>
      <c r="G9" s="6">
        <f>[1]Tasas!$B$35</f>
        <v>1.0302562519296079</v>
      </c>
    </row>
    <row r="10" spans="2:7" s="8" customFormat="1" ht="20.100000000000001" customHeight="1" thickBot="1" x14ac:dyDescent="0.25">
      <c r="B10" s="5" t="s">
        <v>40</v>
      </c>
      <c r="C10" s="6">
        <f>[2]Tasas!$B$36</f>
        <v>0.94503340110368861</v>
      </c>
      <c r="D10" s="6">
        <f>[2]Tasas!$B$17</f>
        <v>0.95154926613709301</v>
      </c>
      <c r="E10" s="6">
        <f>[2]Tasas!$B$28</f>
        <v>0.94752986761381985</v>
      </c>
      <c r="F10" s="6">
        <f>[2]Tasas!$B$31</f>
        <v>0.8378076062639821</v>
      </c>
      <c r="G10" s="6">
        <f>[2]Tasas!$B$35</f>
        <v>0.91875662310137762</v>
      </c>
    </row>
    <row r="11" spans="2:7" s="8" customFormat="1" ht="20.100000000000001" customHeight="1" thickBot="1" x14ac:dyDescent="0.25">
      <c r="B11" s="5" t="s">
        <v>41</v>
      </c>
      <c r="C11" s="6">
        <f>[3]Tasas!$B$36</f>
        <v>0.96292208868460738</v>
      </c>
      <c r="D11" s="6">
        <f>[3]Tasas!$B$17</f>
        <v>0.93876337693222356</v>
      </c>
      <c r="E11" s="6">
        <f>[3]Tasas!$B$28</f>
        <v>0.9823302569435417</v>
      </c>
      <c r="F11" s="6">
        <f>[3]Tasas!$B$31</f>
        <v>1.1626237623762377</v>
      </c>
      <c r="G11" s="6">
        <f>[3]Tasas!$B$35</f>
        <v>0.94249873716113819</v>
      </c>
    </row>
    <row r="12" spans="2:7" s="8" customFormat="1" ht="20.100000000000001" customHeight="1" thickBot="1" x14ac:dyDescent="0.25">
      <c r="B12" s="5" t="s">
        <v>42</v>
      </c>
      <c r="C12" s="6">
        <f>[4]Tasas!$B$36</f>
        <v>1.0012872099976688</v>
      </c>
      <c r="D12" s="6">
        <f>[4]Tasas!$B$17</f>
        <v>1.0216266811172965</v>
      </c>
      <c r="E12" s="6">
        <f>[4]Tasas!$B$28</f>
        <v>0.99045657537878018</v>
      </c>
      <c r="F12" s="6">
        <f>[4]Tasas!$B$31</f>
        <v>1.0526068576796619</v>
      </c>
      <c r="G12" s="6">
        <f>[4]Tasas!$B$35</f>
        <v>0.94272872263302887</v>
      </c>
    </row>
    <row r="13" spans="2:7" s="8" customFormat="1" ht="20.100000000000001" customHeight="1" thickBot="1" x14ac:dyDescent="0.25">
      <c r="B13" s="5" t="s">
        <v>43</v>
      </c>
      <c r="C13" s="6">
        <f>[5]Tasas!$B$36</f>
        <v>0.88888888888888884</v>
      </c>
      <c r="D13" s="6">
        <f>[5]Tasas!$B$17</f>
        <v>0.897887323943662</v>
      </c>
      <c r="E13" s="6">
        <f>[5]Tasas!$B$28</f>
        <v>0.89101123595505616</v>
      </c>
      <c r="F13" s="6">
        <f>[5]Tasas!$B$31</f>
        <v>0.96283783783783783</v>
      </c>
      <c r="G13" s="6">
        <f>[5]Tasas!$B$35</f>
        <v>0.77751756440281028</v>
      </c>
    </row>
    <row r="14" spans="2:7" s="8" customFormat="1" ht="20.100000000000001" customHeight="1" thickBot="1" x14ac:dyDescent="0.25">
      <c r="B14" s="5" t="s">
        <v>44</v>
      </c>
      <c r="C14" s="6">
        <f>[6]Tasas!$B$36</f>
        <v>0.95565803946514005</v>
      </c>
      <c r="D14" s="6">
        <f>[6]Tasas!$B$17</f>
        <v>0.94057248604602572</v>
      </c>
      <c r="E14" s="6">
        <f>[6]Tasas!$B$28</f>
        <v>0.97379686434901158</v>
      </c>
      <c r="F14" s="6">
        <f>[6]Tasas!$B$31</f>
        <v>1.0804232804232805</v>
      </c>
      <c r="G14" s="6">
        <f>[6]Tasas!$B$35</f>
        <v>0.89160516605166051</v>
      </c>
    </row>
    <row r="15" spans="2:7" s="8" customFormat="1" ht="20.100000000000001" customHeight="1" thickBot="1" x14ac:dyDescent="0.25">
      <c r="B15" s="5" t="s">
        <v>45</v>
      </c>
      <c r="C15" s="6">
        <f>[7]Tasas!$B$36</f>
        <v>0.97164653132395062</v>
      </c>
      <c r="D15" s="6">
        <f>[7]Tasas!$B$17</f>
        <v>0.91887850980069408</v>
      </c>
      <c r="E15" s="6">
        <f>[7]Tasas!$B$28</f>
        <v>1.0047540543649121</v>
      </c>
      <c r="F15" s="6">
        <f>[7]Tasas!$B$31</f>
        <v>0.99766042780748665</v>
      </c>
      <c r="G15" s="6">
        <f>[7]Tasas!$B$35</f>
        <v>1.1547545059042883</v>
      </c>
    </row>
    <row r="16" spans="2:7" s="8" customFormat="1" ht="20.100000000000001" customHeight="1" thickBot="1" x14ac:dyDescent="0.25">
      <c r="B16" s="5" t="s">
        <v>46</v>
      </c>
      <c r="C16" s="6">
        <f>[8]Tasas!$B$36</f>
        <v>0.96989736021627759</v>
      </c>
      <c r="D16" s="6">
        <f>[8]Tasas!$B$17</f>
        <v>0.95052667594005202</v>
      </c>
      <c r="E16" s="6">
        <f>[8]Tasas!$B$28</f>
        <v>0.9872160057023307</v>
      </c>
      <c r="F16" s="6">
        <f>[8]Tasas!$B$31</f>
        <v>0.97807308970099671</v>
      </c>
      <c r="G16" s="6">
        <f>[8]Tasas!$B$35</f>
        <v>0.97952536063285245</v>
      </c>
    </row>
    <row r="17" spans="2:7" s="8" customFormat="1" ht="20.100000000000001" customHeight="1" thickBot="1" x14ac:dyDescent="0.25">
      <c r="B17" s="5" t="s">
        <v>47</v>
      </c>
      <c r="C17" s="6">
        <f>[9]Tasas!$B$36</f>
        <v>0.97842773290523255</v>
      </c>
      <c r="D17" s="6">
        <f>[9]Tasas!$B$17</f>
        <v>0.93065015479876156</v>
      </c>
      <c r="E17" s="6">
        <f>[9]Tasas!$B$28</f>
        <v>0.97964897168084419</v>
      </c>
      <c r="F17" s="6">
        <f>[9]Tasas!$B$31</f>
        <v>1.2160413971539457</v>
      </c>
      <c r="G17" s="6">
        <f>[9]Tasas!$B$35</f>
        <v>1.2116920842411039</v>
      </c>
    </row>
    <row r="18" spans="2:7" s="8" customFormat="1" ht="20.100000000000001" customHeight="1" thickBot="1" x14ac:dyDescent="0.25">
      <c r="B18" s="5" t="s">
        <v>48</v>
      </c>
      <c r="C18" s="6">
        <f>[10]Tasas!$B$36</f>
        <v>0.95685207525860516</v>
      </c>
      <c r="D18" s="6">
        <f>[10]Tasas!$B$17</f>
        <v>0.94466588511137162</v>
      </c>
      <c r="E18" s="6">
        <f>[10]Tasas!$B$28</f>
        <v>0.96648698128559807</v>
      </c>
      <c r="F18" s="6">
        <f>[10]Tasas!$B$31</f>
        <v>1.393939393939394</v>
      </c>
      <c r="G18" s="6">
        <f>[10]Tasas!$B$35</f>
        <v>0.88194444444444442</v>
      </c>
    </row>
    <row r="19" spans="2:7" s="8" customFormat="1" ht="20.100000000000001" customHeight="1" thickBot="1" x14ac:dyDescent="0.25">
      <c r="B19" s="5" t="s">
        <v>49</v>
      </c>
      <c r="C19" s="6">
        <f>[11]Tasas!$B$36</f>
        <v>0.98463506139154156</v>
      </c>
      <c r="D19" s="6">
        <f>[11]Tasas!$B$17</f>
        <v>0.97191885526986266</v>
      </c>
      <c r="E19" s="6">
        <f>[11]Tasas!$B$28</f>
        <v>0.99887047767499126</v>
      </c>
      <c r="F19" s="6">
        <f>[11]Tasas!$B$31</f>
        <v>1.0327187274041938</v>
      </c>
      <c r="G19" s="6">
        <f>[11]Tasas!$B$35</f>
        <v>0.91940718303764601</v>
      </c>
    </row>
    <row r="20" spans="2:7" s="8" customFormat="1" ht="20.100000000000001" customHeight="1" thickBot="1" x14ac:dyDescent="0.25">
      <c r="B20" s="5" t="s">
        <v>50</v>
      </c>
      <c r="C20" s="6">
        <f>[12]Tasas!$B$36</f>
        <v>0.95993766289598836</v>
      </c>
      <c r="D20" s="6">
        <f>[12]Tasas!$B$17</f>
        <v>0.94684522580454855</v>
      </c>
      <c r="E20" s="6">
        <f>[12]Tasas!$B$28</f>
        <v>0.95197605795317874</v>
      </c>
      <c r="F20" s="6">
        <f>[12]Tasas!$B$31</f>
        <v>1.248822605965463</v>
      </c>
      <c r="G20" s="6">
        <f>[12]Tasas!$B$35</f>
        <v>1.0627495721620079</v>
      </c>
    </row>
    <row r="21" spans="2:7" s="8" customFormat="1" ht="20.100000000000001" customHeight="1" thickBot="1" x14ac:dyDescent="0.25">
      <c r="B21" s="5" t="s">
        <v>51</v>
      </c>
      <c r="C21" s="6">
        <f>[13]Tasas!$B$36</f>
        <v>0.95510302849803619</v>
      </c>
      <c r="D21" s="6">
        <f>[13]Tasas!$B$17</f>
        <v>0.9299794057075611</v>
      </c>
      <c r="E21" s="6">
        <f>[13]Tasas!$B$28</f>
        <v>0.96843565730142211</v>
      </c>
      <c r="F21" s="6">
        <f>[13]Tasas!$B$31</f>
        <v>0.71805702217529044</v>
      </c>
      <c r="G21" s="6">
        <f>[13]Tasas!$B$35</f>
        <v>1.1119894598155469</v>
      </c>
    </row>
    <row r="22" spans="2:7" s="8" customFormat="1" ht="15" thickBot="1" x14ac:dyDescent="0.25">
      <c r="B22" s="5" t="s">
        <v>52</v>
      </c>
      <c r="C22" s="6">
        <f>[14]Tasas!$B$36</f>
        <v>0.98286817340947474</v>
      </c>
      <c r="D22" s="6">
        <f>[14]Tasas!$B$17</f>
        <v>0.97127263840994871</v>
      </c>
      <c r="E22" s="6">
        <f>[14]Tasas!$B$28</f>
        <v>0.99704812608718574</v>
      </c>
      <c r="F22" s="6">
        <f>[14]Tasas!$B$31</f>
        <v>1.1000000000000001</v>
      </c>
      <c r="G22" s="6">
        <f>[14]Tasas!$B$35</f>
        <v>0.86672589960017765</v>
      </c>
    </row>
    <row r="23" spans="2:7" s="8" customFormat="1" ht="20.100000000000001" customHeight="1" thickBot="1" x14ac:dyDescent="0.25">
      <c r="B23" s="5" t="s">
        <v>53</v>
      </c>
      <c r="C23" s="6">
        <f>[15]Tasas!$B$36</f>
        <v>0.95262118169499277</v>
      </c>
      <c r="D23" s="6">
        <f>[15]Tasas!$B$17</f>
        <v>0.898822560724578</v>
      </c>
      <c r="E23" s="6">
        <f>[15]Tasas!$B$28</f>
        <v>0.96322616114516091</v>
      </c>
      <c r="F23" s="6">
        <f>[15]Tasas!$B$31</f>
        <v>1.0126067507116714</v>
      </c>
      <c r="G23" s="6">
        <f>[15]Tasas!$B$35</f>
        <v>1.2072107377290096</v>
      </c>
    </row>
    <row r="24" spans="2:7" s="8" customFormat="1" ht="20.100000000000001" customHeight="1" thickBot="1" x14ac:dyDescent="0.25">
      <c r="B24" s="5" t="s">
        <v>54</v>
      </c>
      <c r="C24" s="6">
        <f>[16]Tasas!$B$36</f>
        <v>0.90872895877431714</v>
      </c>
      <c r="D24" s="6">
        <f>[16]Tasas!$B$17</f>
        <v>0.88422011187719529</v>
      </c>
      <c r="E24" s="6">
        <f>[16]Tasas!$B$28</f>
        <v>0.92079114223526071</v>
      </c>
      <c r="F24" s="6">
        <f>[16]Tasas!$B$31</f>
        <v>1.0110132158590308</v>
      </c>
      <c r="G24" s="6">
        <f>[16]Tasas!$B$35</f>
        <v>0.92151675485008822</v>
      </c>
    </row>
    <row r="25" spans="2:7" s="8" customFormat="1" ht="20.100000000000001" customHeight="1" thickBot="1" x14ac:dyDescent="0.25">
      <c r="B25" s="5" t="s">
        <v>55</v>
      </c>
      <c r="C25" s="6">
        <f>[17]Tasas!$B$36</f>
        <v>0.94356321625587403</v>
      </c>
      <c r="D25" s="6">
        <f>[17]Tasas!$B$17</f>
        <v>0.91244279610471291</v>
      </c>
      <c r="E25" s="6">
        <f>[17]Tasas!$B$28</f>
        <v>0.95408758350121936</v>
      </c>
      <c r="F25" s="6">
        <f>[17]Tasas!$B$31</f>
        <v>1.1401869158878504</v>
      </c>
      <c r="G25" s="6">
        <f>[17]Tasas!$B$35</f>
        <v>1.103203781512605</v>
      </c>
    </row>
    <row r="26" spans="2:7" s="8" customFormat="1" ht="20.100000000000001" customHeight="1" thickBot="1" x14ac:dyDescent="0.25">
      <c r="B26" s="5" t="s">
        <v>56</v>
      </c>
      <c r="C26" s="6">
        <f>[18]Tasas!$B$36</f>
        <v>0.99950653291499114</v>
      </c>
      <c r="D26" s="6">
        <f>[18]Tasas!$B$17</f>
        <v>1.0150527746681592</v>
      </c>
      <c r="E26" s="6">
        <f>[18]Tasas!$B$28</f>
        <v>0.99408395406997074</v>
      </c>
      <c r="F26" s="6">
        <f>[18]Tasas!$B$31</f>
        <v>0.97118429385687144</v>
      </c>
      <c r="G26" s="6">
        <f>[18]Tasas!$B$35</f>
        <v>0.96483329277196395</v>
      </c>
    </row>
    <row r="27" spans="2:7" ht="15" thickBot="1" x14ac:dyDescent="0.25">
      <c r="B27" s="5" t="s">
        <v>57</v>
      </c>
      <c r="C27" s="6">
        <f>[19]Tasas!$B$36</f>
        <v>0.99433185560481319</v>
      </c>
      <c r="D27" s="6">
        <f>[19]Tasas!$B$17</f>
        <v>0.90979834889700906</v>
      </c>
      <c r="E27" s="6">
        <f>[19]Tasas!$B$28</f>
        <v>1.0505598442172612</v>
      </c>
      <c r="F27" s="6">
        <f>[19]Tasas!$B$31</f>
        <v>1.0909090909090908</v>
      </c>
      <c r="G27" s="6">
        <f>[19]Tasas!$B$35</f>
        <v>1.2025931928687197</v>
      </c>
    </row>
    <row r="28" spans="2:7" ht="15" thickBot="1" x14ac:dyDescent="0.25">
      <c r="B28" s="5" t="s">
        <v>58</v>
      </c>
      <c r="C28" s="6">
        <f>[20]Tasas!$B$36</f>
        <v>0.93841786992471921</v>
      </c>
      <c r="D28" s="6">
        <f>[20]Tasas!$B$17</f>
        <v>0.90843646364151098</v>
      </c>
      <c r="E28" s="6">
        <f>[20]Tasas!$B$28</f>
        <v>0.97224494742902157</v>
      </c>
      <c r="F28" s="6">
        <f>[20]Tasas!$B$31</f>
        <v>0.89720930232558138</v>
      </c>
      <c r="G28" s="6">
        <f>[20]Tasas!$B$35</f>
        <v>0.88048533872598589</v>
      </c>
    </row>
    <row r="29" spans="2:7" ht="15" thickBot="1" x14ac:dyDescent="0.25">
      <c r="B29" s="5" t="s">
        <v>59</v>
      </c>
      <c r="C29" s="6">
        <f>[21]Tasas!$B$36</f>
        <v>0.97684511063526058</v>
      </c>
      <c r="D29" s="6">
        <f>[21]Tasas!$B$17</f>
        <v>0.99400981524249421</v>
      </c>
      <c r="E29" s="6">
        <f>[21]Tasas!$B$28</f>
        <v>0.95728527814551645</v>
      </c>
      <c r="F29" s="6">
        <f>[21]Tasas!$B$31</f>
        <v>0.91348448687350836</v>
      </c>
      <c r="G29" s="6">
        <f>[21]Tasas!$B$35</f>
        <v>1.0739928747602083</v>
      </c>
    </row>
    <row r="30" spans="2:7" ht="15" thickBot="1" x14ac:dyDescent="0.25">
      <c r="B30" s="5" t="s">
        <v>60</v>
      </c>
      <c r="C30" s="6">
        <f>[22]Tasas!$B$36</f>
        <v>0.96213017751479291</v>
      </c>
      <c r="D30" s="6">
        <f>[22]Tasas!$B$17</f>
        <v>0.96172603901611531</v>
      </c>
      <c r="E30" s="6">
        <f>[22]Tasas!$B$28</f>
        <v>0.96577097974369575</v>
      </c>
      <c r="F30" s="6">
        <f>[22]Tasas!$B$31</f>
        <v>1.0063897763578276</v>
      </c>
      <c r="G30" s="6">
        <f>[22]Tasas!$B$35</f>
        <v>0.90666666666666662</v>
      </c>
    </row>
    <row r="31" spans="2:7" ht="15" thickBot="1" x14ac:dyDescent="0.25">
      <c r="B31" s="5" t="s">
        <v>61</v>
      </c>
      <c r="C31" s="6">
        <f>[23]Tasas!$B$36</f>
        <v>0.99057752887644379</v>
      </c>
      <c r="D31" s="6">
        <f>[23]Tasas!$B$17</f>
        <v>1.0078316201664219</v>
      </c>
      <c r="E31" s="6">
        <f>[23]Tasas!$B$28</f>
        <v>0.98575280186085856</v>
      </c>
      <c r="F31" s="6">
        <f>[23]Tasas!$B$31</f>
        <v>1.1342512908777969</v>
      </c>
      <c r="G31" s="6">
        <f>[23]Tasas!$B$35</f>
        <v>0.86576129537738311</v>
      </c>
    </row>
    <row r="32" spans="2:7" ht="15" thickBot="1" x14ac:dyDescent="0.25">
      <c r="B32" s="5" t="s">
        <v>62</v>
      </c>
      <c r="C32" s="6">
        <f>[24]Tasas!$B$36</f>
        <v>0.97833502005322537</v>
      </c>
      <c r="D32" s="6">
        <f>[24]Tasas!$B$17</f>
        <v>0.96431175409647341</v>
      </c>
      <c r="E32" s="6">
        <f>[24]Tasas!$B$28</f>
        <v>0.96000354735721882</v>
      </c>
      <c r="F32" s="6">
        <f>[24]Tasas!$B$31</f>
        <v>1.0813333333333333</v>
      </c>
      <c r="G32" s="6">
        <f>[24]Tasas!$B$35</f>
        <v>1.1538653990492869</v>
      </c>
    </row>
    <row r="33" spans="2:7" ht="15" thickBot="1" x14ac:dyDescent="0.25">
      <c r="B33" s="5" t="s">
        <v>63</v>
      </c>
      <c r="C33" s="6">
        <f>[25]Tasas!$B$36</f>
        <v>0.91681781539701734</v>
      </c>
      <c r="D33" s="6">
        <f>[25]Tasas!$B$17</f>
        <v>0.8851407062197526</v>
      </c>
      <c r="E33" s="6">
        <f>[25]Tasas!$B$28</f>
        <v>0.94057342036018177</v>
      </c>
      <c r="F33" s="6">
        <f>[25]Tasas!$B$31</f>
        <v>0.94128787878787878</v>
      </c>
      <c r="G33" s="6">
        <f>[25]Tasas!$B$35</f>
        <v>1.011302475780409</v>
      </c>
    </row>
    <row r="34" spans="2:7" ht="15" thickBot="1" x14ac:dyDescent="0.25">
      <c r="B34" s="5" t="s">
        <v>64</v>
      </c>
      <c r="C34" s="6">
        <f>[26]Tasas!$B$36</f>
        <v>0.92823147476912404</v>
      </c>
      <c r="D34" s="6">
        <f>[26]Tasas!$B$17</f>
        <v>0.88378415114856601</v>
      </c>
      <c r="E34" s="6">
        <f>[26]Tasas!$B$28</f>
        <v>0.97081739623176089</v>
      </c>
      <c r="F34" s="6">
        <f>[26]Tasas!$B$31</f>
        <v>1.1837398373983741</v>
      </c>
      <c r="G34" s="6">
        <f>[26]Tasas!$B$35</f>
        <v>0.88245614035087716</v>
      </c>
    </row>
    <row r="35" spans="2:7" ht="15" thickBot="1" x14ac:dyDescent="0.25">
      <c r="B35" s="5" t="s">
        <v>65</v>
      </c>
      <c r="C35" s="6">
        <f>[27]Tasas!$B$36</f>
        <v>0.96847855777110081</v>
      </c>
      <c r="D35" s="6">
        <f>[27]Tasas!$B$17</f>
        <v>0.94310052967837055</v>
      </c>
      <c r="E35" s="6">
        <f>[27]Tasas!$B$28</f>
        <v>0.97216545697977597</v>
      </c>
      <c r="F35" s="6">
        <f>[27]Tasas!$B$31</f>
        <v>0.92727272727272725</v>
      </c>
      <c r="G35" s="6">
        <f>[27]Tasas!$B$35</f>
        <v>1.1016187050359711</v>
      </c>
    </row>
    <row r="36" spans="2:7" ht="15" thickBot="1" x14ac:dyDescent="0.25">
      <c r="B36" s="5" t="s">
        <v>32</v>
      </c>
      <c r="C36" s="6">
        <f>[28]Tasas!$B$36</f>
        <v>0.96693093503453198</v>
      </c>
      <c r="D36" s="6">
        <f>[28]Tasas!$B$17</f>
        <v>0.92857482421376991</v>
      </c>
      <c r="E36" s="6">
        <f>[28]Tasas!$B$28</f>
        <v>1.0075860044247325</v>
      </c>
      <c r="F36" s="6">
        <f>[28]Tasas!$B$31</f>
        <v>0.87694863276258628</v>
      </c>
      <c r="G36" s="6">
        <f>[28]Tasas!$B$35</f>
        <v>1.0538325400780082</v>
      </c>
    </row>
    <row r="37" spans="2:7" ht="15" thickBot="1" x14ac:dyDescent="0.25">
      <c r="B37" s="5" t="s">
        <v>66</v>
      </c>
      <c r="C37" s="6">
        <f>[29]Tasas!$B$36</f>
        <v>0.99133924732039047</v>
      </c>
      <c r="D37" s="6">
        <f>[29]Tasas!$B$17</f>
        <v>0.98153064758166919</v>
      </c>
      <c r="E37" s="6">
        <f>[29]Tasas!$B$28</f>
        <v>0.99239694211260854</v>
      </c>
      <c r="F37" s="6">
        <f>[29]Tasas!$B$31</f>
        <v>1.3212205270457698</v>
      </c>
      <c r="G37" s="6">
        <f>[29]Tasas!$B$35</f>
        <v>0.96538032878239066</v>
      </c>
    </row>
    <row r="38" spans="2:7" ht="15" thickBot="1" x14ac:dyDescent="0.25">
      <c r="B38" s="5" t="s">
        <v>33</v>
      </c>
      <c r="C38" s="6">
        <f>[30]Tasas!$B$36</f>
        <v>0.9275867796047168</v>
      </c>
      <c r="D38" s="6">
        <f>[30]Tasas!$B$17</f>
        <v>0.86694155011979723</v>
      </c>
      <c r="E38" s="6">
        <f>[30]Tasas!$B$28</f>
        <v>0.97691253602986339</v>
      </c>
      <c r="F38" s="6">
        <f>[30]Tasas!$B$31</f>
        <v>0.96600755387691628</v>
      </c>
      <c r="G38" s="6">
        <f>[30]Tasas!$B$35</f>
        <v>0.93223511793335834</v>
      </c>
    </row>
    <row r="39" spans="2:7" ht="15" thickBot="1" x14ac:dyDescent="0.25">
      <c r="B39" s="5" t="s">
        <v>34</v>
      </c>
      <c r="C39" s="6">
        <f>[31]Tasas!$B$36</f>
        <v>0.94132264864789406</v>
      </c>
      <c r="D39" s="6">
        <f>[31]Tasas!$B$17</f>
        <v>0.91246361861253367</v>
      </c>
      <c r="E39" s="6">
        <f>[31]Tasas!$B$28</f>
        <v>0.96462135214640876</v>
      </c>
      <c r="F39" s="6">
        <f>[31]Tasas!$B$31</f>
        <v>1.0259026687598116</v>
      </c>
      <c r="G39" s="6">
        <f>[31]Tasas!$B$35</f>
        <v>0.89560325067722446</v>
      </c>
    </row>
    <row r="40" spans="2:7" ht="15" thickBot="1" x14ac:dyDescent="0.25">
      <c r="B40" s="5" t="s">
        <v>67</v>
      </c>
      <c r="C40" s="6">
        <f>[32]Tasas!$B$36</f>
        <v>1.0045146726862302</v>
      </c>
      <c r="D40" s="6">
        <f>[32]Tasas!$B$17</f>
        <v>1.0059480456421461</v>
      </c>
      <c r="E40" s="6">
        <f>[32]Tasas!$B$28</f>
        <v>1.0000771010023131</v>
      </c>
      <c r="F40" s="6">
        <f>[32]Tasas!$B$31</f>
        <v>0.96263079222720482</v>
      </c>
      <c r="G40" s="6">
        <f>[32]Tasas!$B$35</f>
        <v>1.0219532789192232</v>
      </c>
    </row>
    <row r="41" spans="2:7" ht="15" thickBot="1" x14ac:dyDescent="0.25">
      <c r="B41" s="5" t="s">
        <v>31</v>
      </c>
      <c r="C41" s="6">
        <f>[33]Tasas!$B$36</f>
        <v>0.96141712296478954</v>
      </c>
      <c r="D41" s="6">
        <f>[33]Tasas!$B$17</f>
        <v>0.94351797289334116</v>
      </c>
      <c r="E41" s="6">
        <f>[33]Tasas!$B$28</f>
        <v>0.97392246652917114</v>
      </c>
      <c r="F41" s="6">
        <f>[33]Tasas!$B$31</f>
        <v>1.132991133924405</v>
      </c>
      <c r="G41" s="6">
        <f>[33]Tasas!$B$35</f>
        <v>0.97379789631855751</v>
      </c>
    </row>
    <row r="42" spans="2:7" ht="15" thickBot="1" x14ac:dyDescent="0.25">
      <c r="B42" s="5" t="s">
        <v>68</v>
      </c>
      <c r="C42" s="6">
        <f>[34]Tasas!$B$36</f>
        <v>0.95188096871207728</v>
      </c>
      <c r="D42" s="6">
        <f>[34]Tasas!$B$17</f>
        <v>0.93817427385892116</v>
      </c>
      <c r="E42" s="6">
        <f>[34]Tasas!$B$28</f>
        <v>0.98517560441747087</v>
      </c>
      <c r="F42" s="6">
        <f>[34]Tasas!$B$31</f>
        <v>1.0738007380073802</v>
      </c>
      <c r="G42" s="6">
        <f>[34]Tasas!$B$35</f>
        <v>0.76017130620985007</v>
      </c>
    </row>
    <row r="43" spans="2:7" ht="15" thickBot="1" x14ac:dyDescent="0.25">
      <c r="B43" s="5" t="s">
        <v>69</v>
      </c>
      <c r="C43" s="6">
        <f>[35]Tasas!$B$36</f>
        <v>0.95465581427613477</v>
      </c>
      <c r="D43" s="6">
        <f>[35]Tasas!$B$17</f>
        <v>0.90857947920715121</v>
      </c>
      <c r="E43" s="6">
        <f>[35]Tasas!$B$28</f>
        <v>0.99244762662423758</v>
      </c>
      <c r="F43" s="6">
        <f>[35]Tasas!$B$31</f>
        <v>1.071667285555143</v>
      </c>
      <c r="G43" s="6">
        <f>[35]Tasas!$B$35</f>
        <v>1.0075243163883281</v>
      </c>
    </row>
    <row r="44" spans="2:7" ht="15" thickBot="1" x14ac:dyDescent="0.25">
      <c r="B44" s="5" t="s">
        <v>70</v>
      </c>
      <c r="C44" s="6">
        <f>[36]Tasas!$B$36</f>
        <v>0.96592753758679595</v>
      </c>
      <c r="D44" s="6">
        <f>[36]Tasas!$B$17</f>
        <v>0.95163781337547593</v>
      </c>
      <c r="E44" s="6">
        <f>[36]Tasas!$B$28</f>
        <v>0.97260889966372099</v>
      </c>
      <c r="F44" s="6">
        <f>[36]Tasas!$B$31</f>
        <v>1.115795090715048</v>
      </c>
      <c r="G44" s="6">
        <f>[36]Tasas!$B$35</f>
        <v>0.98525963149078732</v>
      </c>
    </row>
    <row r="45" spans="2:7" ht="15" thickBot="1" x14ac:dyDescent="0.25">
      <c r="B45" s="5" t="s">
        <v>71</v>
      </c>
      <c r="C45" s="6">
        <f>[37]Tasas!$B$36</f>
        <v>0.94213365024225249</v>
      </c>
      <c r="D45" s="6">
        <f>[37]Tasas!$B$17</f>
        <v>0.92597072698681504</v>
      </c>
      <c r="E45" s="6">
        <f>[37]Tasas!$B$28</f>
        <v>0.95724271267102912</v>
      </c>
      <c r="F45" s="6">
        <f>[37]Tasas!$B$31</f>
        <v>1.085820895522388</v>
      </c>
      <c r="G45" s="6">
        <f>[37]Tasas!$B$35</f>
        <v>0.91678975873953716</v>
      </c>
    </row>
    <row r="46" spans="2:7" ht="15" thickBot="1" x14ac:dyDescent="0.25">
      <c r="B46" s="5" t="s">
        <v>72</v>
      </c>
      <c r="C46" s="6">
        <f>[38]Tasas!$B$36</f>
        <v>0.94857225375458332</v>
      </c>
      <c r="D46" s="6">
        <f>[38]Tasas!$B$17</f>
        <v>0.90577772774603893</v>
      </c>
      <c r="E46" s="6">
        <f>[38]Tasas!$B$28</f>
        <v>0.97039804950442576</v>
      </c>
      <c r="F46" s="6">
        <f>[38]Tasas!$B$31</f>
        <v>1.1056641271944352</v>
      </c>
      <c r="G46" s="6">
        <f>[38]Tasas!$B$35</f>
        <v>1.0432143224611585</v>
      </c>
    </row>
    <row r="47" spans="2:7" ht="15" thickBot="1" x14ac:dyDescent="0.25">
      <c r="B47" s="5" t="s">
        <v>5</v>
      </c>
      <c r="C47" s="6">
        <f>[39]Tasas!$B$36</f>
        <v>0.96348836290354445</v>
      </c>
      <c r="D47" s="6">
        <f>[39]Tasas!$B$17</f>
        <v>0.94988034739587535</v>
      </c>
      <c r="E47" s="6">
        <f>[39]Tasas!$B$28</f>
        <v>0.96660063146164799</v>
      </c>
      <c r="F47" s="6">
        <f>[39]Tasas!$B$31</f>
        <v>1.12549642573471</v>
      </c>
      <c r="G47" s="6">
        <f>[39]Tasas!$B$35</f>
        <v>1.0025169409486931</v>
      </c>
    </row>
    <row r="48" spans="2:7" ht="15" thickBot="1" x14ac:dyDescent="0.25">
      <c r="B48" s="5" t="s">
        <v>73</v>
      </c>
      <c r="C48" s="6">
        <f>[40]Tasas!$B$36</f>
        <v>0.97633448822596747</v>
      </c>
      <c r="D48" s="6">
        <f>[40]Tasas!$B$17</f>
        <v>0.92750981491867635</v>
      </c>
      <c r="E48" s="6">
        <f>[40]Tasas!$B$28</f>
        <v>0.98950069995333645</v>
      </c>
      <c r="F48" s="6">
        <f>[40]Tasas!$B$31</f>
        <v>1.0170068027210883</v>
      </c>
      <c r="G48" s="6">
        <f>[40]Tasas!$B$35</f>
        <v>1.1930164888457808</v>
      </c>
    </row>
    <row r="49" spans="2:7" ht="15" thickBot="1" x14ac:dyDescent="0.25">
      <c r="B49" s="5" t="s">
        <v>74</v>
      </c>
      <c r="C49" s="6">
        <f>[41]Tasas!$B$36</f>
        <v>0.99257283390087025</v>
      </c>
      <c r="D49" s="6">
        <f>[41]Tasas!$B$17</f>
        <v>0.96817742594863787</v>
      </c>
      <c r="E49" s="6">
        <f>[41]Tasas!$B$28</f>
        <v>1.0089504256018704</v>
      </c>
      <c r="F49" s="6">
        <f>[41]Tasas!$B$31</f>
        <v>1.0714148956538387</v>
      </c>
      <c r="G49" s="6">
        <f>[41]Tasas!$B$35</f>
        <v>0.99067471201316515</v>
      </c>
    </row>
    <row r="50" spans="2:7" ht="15" thickBot="1" x14ac:dyDescent="0.25">
      <c r="B50" s="5" t="s">
        <v>75</v>
      </c>
      <c r="C50" s="6">
        <f>[42]Tasas!$B$36</f>
        <v>0.96683721811635404</v>
      </c>
      <c r="D50" s="6">
        <f>[42]Tasas!$B$17</f>
        <v>0.94895644283121594</v>
      </c>
      <c r="E50" s="6">
        <f>[42]Tasas!$B$28</f>
        <v>0.96756658815002716</v>
      </c>
      <c r="F50" s="6">
        <f>[42]Tasas!$B$31</f>
        <v>1.2269503546099292</v>
      </c>
      <c r="G50" s="6">
        <f>[42]Tasas!$B$35</f>
        <v>1.0452674897119341</v>
      </c>
    </row>
    <row r="51" spans="2:7" ht="15" thickBot="1" x14ac:dyDescent="0.25">
      <c r="B51" s="5" t="s">
        <v>76</v>
      </c>
      <c r="C51" s="6">
        <f>[43]Tasas!$B$36</f>
        <v>0.96422615768862197</v>
      </c>
      <c r="D51" s="6">
        <f>[43]Tasas!$B$17</f>
        <v>0.93304102961465052</v>
      </c>
      <c r="E51" s="6">
        <f>[43]Tasas!$B$28</f>
        <v>0.99042323560753021</v>
      </c>
      <c r="F51" s="6">
        <f>[43]Tasas!$B$31</f>
        <v>1.0902413431269675</v>
      </c>
      <c r="G51" s="6">
        <f>[43]Tasas!$B$35</f>
        <v>0.89328207944352922</v>
      </c>
    </row>
    <row r="52" spans="2:7" ht="15" thickBot="1" x14ac:dyDescent="0.25">
      <c r="B52" s="5" t="s">
        <v>77</v>
      </c>
      <c r="C52" s="6">
        <f>[44]Tasas!$B$36</f>
        <v>0.97029869583508621</v>
      </c>
      <c r="D52" s="6">
        <f>[44]Tasas!$B$17</f>
        <v>0.91147400085947572</v>
      </c>
      <c r="E52" s="6">
        <f>[44]Tasas!$B$28</f>
        <v>1.0043341802421162</v>
      </c>
      <c r="F52" s="6">
        <f>[44]Tasas!$B$31</f>
        <v>1.0815217391304348</v>
      </c>
      <c r="G52" s="6">
        <f>[44]Tasas!$B$35</f>
        <v>1.0421348314606742</v>
      </c>
    </row>
    <row r="53" spans="2:7" ht="15" thickBot="1" x14ac:dyDescent="0.25">
      <c r="B53" s="5" t="s">
        <v>78</v>
      </c>
      <c r="C53" s="6">
        <f>[45]Tasas!$B$36</f>
        <v>0.89366916632257554</v>
      </c>
      <c r="D53" s="6">
        <f>[45]Tasas!$B$17</f>
        <v>0.89471520201743326</v>
      </c>
      <c r="E53" s="6">
        <f>[45]Tasas!$B$28</f>
        <v>0.86905531714772799</v>
      </c>
      <c r="F53" s="6">
        <f>[45]Tasas!$B$31</f>
        <v>0.94602479941648432</v>
      </c>
      <c r="G53" s="6">
        <f>[45]Tasas!$B$35</f>
        <v>1.1208619612742037</v>
      </c>
    </row>
    <row r="54" spans="2:7" ht="15" thickBot="1" x14ac:dyDescent="0.25">
      <c r="B54" s="5" t="s">
        <v>79</v>
      </c>
      <c r="C54" s="6">
        <f>[46]Tasas!$B$36</f>
        <v>0.95622434645185361</v>
      </c>
      <c r="D54" s="6">
        <f>[46]Tasas!$B$17</f>
        <v>0.94346570621293513</v>
      </c>
      <c r="E54" s="6">
        <f>[46]Tasas!$B$28</f>
        <v>0.97266887353944553</v>
      </c>
      <c r="F54" s="6">
        <f>[46]Tasas!$B$31</f>
        <v>1.0223880597014925</v>
      </c>
      <c r="G54" s="6">
        <f>[46]Tasas!$B$35</f>
        <v>0.89452383331667829</v>
      </c>
    </row>
    <row r="55" spans="2:7" ht="15" thickBot="1" x14ac:dyDescent="0.25">
      <c r="B55" s="5" t="s">
        <v>80</v>
      </c>
      <c r="C55" s="6">
        <f>[47]Tasas!$B$36</f>
        <v>0.98312106049775816</v>
      </c>
      <c r="D55" s="6">
        <f>[47]Tasas!$B$17</f>
        <v>0.97246601818700296</v>
      </c>
      <c r="E55" s="6">
        <f>[47]Tasas!$B$28</f>
        <v>0.99446153846153851</v>
      </c>
      <c r="F55" s="6">
        <f>[47]Tasas!$B$31</f>
        <v>0.99335548172757471</v>
      </c>
      <c r="G55" s="6">
        <f>[47]Tasas!$B$35</f>
        <v>0.99388586956521741</v>
      </c>
    </row>
    <row r="56" spans="2:7" ht="15" thickBot="1" x14ac:dyDescent="0.25">
      <c r="B56" s="5" t="s">
        <v>81</v>
      </c>
      <c r="C56" s="6">
        <f>[48]Tasas!$B$36</f>
        <v>0.97630936296271431</v>
      </c>
      <c r="D56" s="6">
        <f>[48]Tasas!$B$17</f>
        <v>0.96195571682464454</v>
      </c>
      <c r="E56" s="6">
        <f>[48]Tasas!$B$28</f>
        <v>1.0026777265497595</v>
      </c>
      <c r="F56" s="6">
        <f>[48]Tasas!$B$31</f>
        <v>1.009453781512605</v>
      </c>
      <c r="G56" s="6">
        <f>[48]Tasas!$B$35</f>
        <v>0.93228706159740637</v>
      </c>
    </row>
    <row r="57" spans="2:7" ht="15" thickBot="1" x14ac:dyDescent="0.25">
      <c r="B57" s="5" t="s">
        <v>82</v>
      </c>
      <c r="C57" s="6">
        <f>[49]Tasas!$B$36</f>
        <v>0.92679456097818069</v>
      </c>
      <c r="D57" s="6">
        <f>[49]Tasas!$B$17</f>
        <v>0.88435619735258719</v>
      </c>
      <c r="E57" s="6">
        <f>[49]Tasas!$B$28</f>
        <v>0.94721794589839459</v>
      </c>
      <c r="F57" s="6">
        <f>[49]Tasas!$B$31</f>
        <v>1.0155763239875388</v>
      </c>
      <c r="G57" s="6">
        <f>[49]Tasas!$B$35</f>
        <v>1.0376301040832665</v>
      </c>
    </row>
    <row r="58" spans="2:7" ht="15" thickBot="1" x14ac:dyDescent="0.25">
      <c r="B58" s="5" t="s">
        <v>83</v>
      </c>
      <c r="C58" s="6">
        <f>[50]Tasas!$B$36</f>
        <v>0.96115718516143733</v>
      </c>
      <c r="D58" s="6">
        <f>[50]Tasas!$B$17</f>
        <v>0.88556334491693955</v>
      </c>
      <c r="E58" s="6">
        <f>[50]Tasas!$B$28</f>
        <v>1.0070276497695851</v>
      </c>
      <c r="F58" s="6">
        <f>[50]Tasas!$B$31</f>
        <v>1.1193390452876377</v>
      </c>
      <c r="G58" s="6">
        <f>[50]Tasas!$B$35</f>
        <v>1.0741498740554156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AE6B8-3FD0-4D67-86A6-C038007490F2}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f>[51]Tasas!$B$36</f>
        <v>0.99105108109610363</v>
      </c>
      <c r="D9" s="6">
        <f>[51]Tasas!$B$17</f>
        <v>0.9697594501718213</v>
      </c>
      <c r="E9" s="6">
        <f>[51]Tasas!$B$28</f>
        <v>1.04610647435378</v>
      </c>
      <c r="F9" s="6">
        <f>[51]Tasas!$B$31</f>
        <v>1.0175953079178885</v>
      </c>
      <c r="G9" s="6">
        <f>[51]Tasas!$B$35</f>
        <v>0.893252503953611</v>
      </c>
    </row>
    <row r="10" spans="2:7" s="8" customFormat="1" ht="20.100000000000001" customHeight="1" thickBot="1" x14ac:dyDescent="0.25">
      <c r="B10" s="5" t="s">
        <v>40</v>
      </c>
      <c r="C10" s="6">
        <f>[52]Tasas!$B$36</f>
        <v>1.0124513618677042</v>
      </c>
      <c r="D10" s="6">
        <f>[52]Tasas!$B$17</f>
        <v>1.0007727548711156</v>
      </c>
      <c r="E10" s="6">
        <f>[52]Tasas!$B$28</f>
        <v>0.99797414049931477</v>
      </c>
      <c r="F10" s="6">
        <f>[52]Tasas!$B$31</f>
        <v>1.151883353584447</v>
      </c>
      <c r="G10" s="6">
        <f>[52]Tasas!$B$35</f>
        <v>1.1326494517155996</v>
      </c>
    </row>
    <row r="11" spans="2:7" s="8" customFormat="1" ht="20.100000000000001" customHeight="1" thickBot="1" x14ac:dyDescent="0.25">
      <c r="B11" s="5" t="s">
        <v>41</v>
      </c>
      <c r="C11" s="6">
        <f>[53]Tasas!$B$36</f>
        <v>1.0277643975195172</v>
      </c>
      <c r="D11" s="6">
        <f>[53]Tasas!$B$17</f>
        <v>1.0069262925462146</v>
      </c>
      <c r="E11" s="6">
        <f>[53]Tasas!$B$28</f>
        <v>1.0376186109187551</v>
      </c>
      <c r="F11" s="6">
        <f>[53]Tasas!$B$31</f>
        <v>0.96905676483141268</v>
      </c>
      <c r="G11" s="6">
        <f>[53]Tasas!$B$35</f>
        <v>1.1384889301749497</v>
      </c>
    </row>
    <row r="12" spans="2:7" s="8" customFormat="1" ht="20.100000000000001" customHeight="1" thickBot="1" x14ac:dyDescent="0.25">
      <c r="B12" s="5" t="s">
        <v>42</v>
      </c>
      <c r="C12" s="6">
        <f>[54]Tasas!$B$36</f>
        <v>1.0532173274754693</v>
      </c>
      <c r="D12" s="6">
        <f>[54]Tasas!$B$17</f>
        <v>1.0785003866357359</v>
      </c>
      <c r="E12" s="6">
        <f>[54]Tasas!$B$28</f>
        <v>1.0089520350389916</v>
      </c>
      <c r="F12" s="6">
        <f>[54]Tasas!$B$31</f>
        <v>1.2689549180327868</v>
      </c>
      <c r="G12" s="6">
        <f>[54]Tasas!$B$35</f>
        <v>1.1633484872237028</v>
      </c>
    </row>
    <row r="13" spans="2:7" s="8" customFormat="1" ht="20.100000000000001" customHeight="1" thickBot="1" x14ac:dyDescent="0.25">
      <c r="B13" s="5" t="s">
        <v>43</v>
      </c>
      <c r="C13" s="6">
        <f>[55]Tasas!$B$36</f>
        <v>1.0079001199125344</v>
      </c>
      <c r="D13" s="6">
        <f>[55]Tasas!$B$17</f>
        <v>1.0570198105081825</v>
      </c>
      <c r="E13" s="6">
        <f>[55]Tasas!$B$28</f>
        <v>0.97591200222779173</v>
      </c>
      <c r="F13" s="6">
        <f>[55]Tasas!$B$31</f>
        <v>1.215547703180212</v>
      </c>
      <c r="G13" s="6">
        <f>[55]Tasas!$B$35</f>
        <v>0.88202866593164275</v>
      </c>
    </row>
    <row r="14" spans="2:7" s="8" customFormat="1" ht="20.100000000000001" customHeight="1" thickBot="1" x14ac:dyDescent="0.25">
      <c r="B14" s="5" t="s">
        <v>44</v>
      </c>
      <c r="C14" s="6">
        <f>[56]Tasas!$B$36</f>
        <v>1.0409082433265917</v>
      </c>
      <c r="D14" s="6">
        <f>[56]Tasas!$B$17</f>
        <v>1.0955899104963385</v>
      </c>
      <c r="E14" s="6">
        <f>[56]Tasas!$B$28</f>
        <v>0.99997055619350472</v>
      </c>
      <c r="F14" s="6">
        <f>[56]Tasas!$B$31</f>
        <v>0.94420226678291197</v>
      </c>
      <c r="G14" s="6">
        <f>[56]Tasas!$B$35</f>
        <v>0.99484801648634724</v>
      </c>
    </row>
    <row r="15" spans="2:7" s="8" customFormat="1" ht="20.100000000000001" customHeight="1" thickBot="1" x14ac:dyDescent="0.25">
      <c r="B15" s="5" t="s">
        <v>45</v>
      </c>
      <c r="C15" s="6">
        <f>[57]Tasas!$B$36</f>
        <v>0.99819883502008466</v>
      </c>
      <c r="D15" s="6">
        <f>[57]Tasas!$B$17</f>
        <v>0.97676578533443192</v>
      </c>
      <c r="E15" s="6">
        <f>[57]Tasas!$B$28</f>
        <v>1.030695038708662</v>
      </c>
      <c r="F15" s="6">
        <f>[57]Tasas!$B$31</f>
        <v>0.71090363454484828</v>
      </c>
      <c r="G15" s="6">
        <f>[57]Tasas!$B$35</f>
        <v>1.00106780565937</v>
      </c>
    </row>
    <row r="16" spans="2:7" s="8" customFormat="1" ht="20.100000000000001" customHeight="1" thickBot="1" x14ac:dyDescent="0.25">
      <c r="B16" s="5" t="s">
        <v>46</v>
      </c>
      <c r="C16" s="6">
        <f>[58]Tasas!$B$36</f>
        <v>1.0123785736484503</v>
      </c>
      <c r="D16" s="6">
        <f>[58]Tasas!$B$17</f>
        <v>0.99909864989260511</v>
      </c>
      <c r="E16" s="6">
        <f>[58]Tasas!$B$28</f>
        <v>1.0160639683751853</v>
      </c>
      <c r="F16" s="6">
        <f>[58]Tasas!$B$31</f>
        <v>0.93148003132341428</v>
      </c>
      <c r="G16" s="6">
        <f>[58]Tasas!$B$35</f>
        <v>1.0967408173823072</v>
      </c>
    </row>
    <row r="17" spans="2:7" s="8" customFormat="1" ht="20.100000000000001" customHeight="1" thickBot="1" x14ac:dyDescent="0.25">
      <c r="B17" s="5" t="s">
        <v>47</v>
      </c>
      <c r="C17" s="6">
        <f>[59]Tasas!$B$36</f>
        <v>0.97779871171423483</v>
      </c>
      <c r="D17" s="6">
        <f>[59]Tasas!$B$17</f>
        <v>0.99428005719942802</v>
      </c>
      <c r="E17" s="6">
        <f>[59]Tasas!$B$28</f>
        <v>0.96537772383099241</v>
      </c>
      <c r="F17" s="6">
        <f>[59]Tasas!$B$31</f>
        <v>0.89053591790193842</v>
      </c>
      <c r="G17" s="6">
        <f>[59]Tasas!$B$35</f>
        <v>0.9749742886527254</v>
      </c>
    </row>
    <row r="18" spans="2:7" s="8" customFormat="1" ht="20.100000000000001" customHeight="1" thickBot="1" x14ac:dyDescent="0.25">
      <c r="B18" s="5" t="s">
        <v>48</v>
      </c>
      <c r="C18" s="6">
        <f>[60]Tasas!$B$36</f>
        <v>0.98251851851851857</v>
      </c>
      <c r="D18" s="6">
        <f>[60]Tasas!$B$17</f>
        <v>0.97308991761010022</v>
      </c>
      <c r="E18" s="6">
        <f>[60]Tasas!$B$28</f>
        <v>0.99983117613956107</v>
      </c>
      <c r="F18" s="6">
        <f>[60]Tasas!$B$31</f>
        <v>0.84291187739463602</v>
      </c>
      <c r="G18" s="6">
        <f>[60]Tasas!$B$35</f>
        <v>0.94393476044852187</v>
      </c>
    </row>
    <row r="19" spans="2:7" s="8" customFormat="1" ht="20.100000000000001" customHeight="1" thickBot="1" x14ac:dyDescent="0.25">
      <c r="B19" s="5" t="s">
        <v>49</v>
      </c>
      <c r="C19" s="6">
        <f>[61]Tasas!$B$36</f>
        <v>1.0282537101274634</v>
      </c>
      <c r="D19" s="6">
        <f>[61]Tasas!$B$17</f>
        <v>1.0514531349505007</v>
      </c>
      <c r="E19" s="6">
        <f>[61]Tasas!$B$28</f>
        <v>1.0239857076994006</v>
      </c>
      <c r="F19" s="6">
        <f>[61]Tasas!$B$31</f>
        <v>1.0598603259062189</v>
      </c>
      <c r="G19" s="6">
        <f>[61]Tasas!$B$35</f>
        <v>0.87165657677490371</v>
      </c>
    </row>
    <row r="20" spans="2:7" s="8" customFormat="1" ht="20.100000000000001" customHeight="1" thickBot="1" x14ac:dyDescent="0.25">
      <c r="B20" s="5" t="s">
        <v>50</v>
      </c>
      <c r="C20" s="6">
        <f>[62]Tasas!$B$36</f>
        <v>0.97801019039957093</v>
      </c>
      <c r="D20" s="6">
        <f>[62]Tasas!$B$17</f>
        <v>0.98613728559108182</v>
      </c>
      <c r="E20" s="6">
        <f>[62]Tasas!$B$28</f>
        <v>0.96444805194805194</v>
      </c>
      <c r="F20" s="6">
        <f>[62]Tasas!$B$31</f>
        <v>1.0789473684210527</v>
      </c>
      <c r="G20" s="6">
        <f>[62]Tasas!$B$35</f>
        <v>0.99045161290322581</v>
      </c>
    </row>
    <row r="21" spans="2:7" s="8" customFormat="1" ht="20.100000000000001" customHeight="1" thickBot="1" x14ac:dyDescent="0.25">
      <c r="B21" s="5" t="s">
        <v>51</v>
      </c>
      <c r="C21" s="6">
        <f>[63]Tasas!$B$36</f>
        <v>0.99234831124838097</v>
      </c>
      <c r="D21" s="6">
        <f>[63]Tasas!$B$17</f>
        <v>0.98651695526695526</v>
      </c>
      <c r="E21" s="6">
        <f>[63]Tasas!$B$28</f>
        <v>0.99081132308706577</v>
      </c>
      <c r="F21" s="6">
        <f>[63]Tasas!$B$31</f>
        <v>1.1871275327771156</v>
      </c>
      <c r="G21" s="6">
        <f>[63]Tasas!$B$35</f>
        <v>0.99345053429851771</v>
      </c>
    </row>
    <row r="22" spans="2:7" s="8" customFormat="1" ht="15" thickBot="1" x14ac:dyDescent="0.25">
      <c r="B22" s="5" t="s">
        <v>52</v>
      </c>
      <c r="C22" s="6">
        <f>[64]Tasas!$B$36</f>
        <v>1.0407712919665844</v>
      </c>
      <c r="D22" s="6">
        <f>[64]Tasas!$B$17</f>
        <v>1.0707289564288258</v>
      </c>
      <c r="E22" s="6">
        <f>[64]Tasas!$B$28</f>
        <v>1.0335121364884017</v>
      </c>
      <c r="F22" s="6">
        <f>[64]Tasas!$B$31</f>
        <v>1.0407331975560081</v>
      </c>
      <c r="G22" s="6">
        <f>[64]Tasas!$B$35</f>
        <v>0.89880253580652736</v>
      </c>
    </row>
    <row r="23" spans="2:7" s="8" customFormat="1" ht="20.100000000000001" customHeight="1" thickBot="1" x14ac:dyDescent="0.25">
      <c r="B23" s="5" t="s">
        <v>53</v>
      </c>
      <c r="C23" s="6">
        <f>[65]Tasas!$B$36</f>
        <v>1.0313353115727002</v>
      </c>
      <c r="D23" s="6">
        <f>[65]Tasas!$B$17</f>
        <v>1.0262779289663899</v>
      </c>
      <c r="E23" s="6">
        <f>[65]Tasas!$B$28</f>
        <v>1.0184531827998375</v>
      </c>
      <c r="F23" s="6">
        <f>[65]Tasas!$B$31</f>
        <v>1.1397894736842105</v>
      </c>
      <c r="G23" s="6">
        <f>[65]Tasas!$B$35</f>
        <v>1.088603040388594</v>
      </c>
    </row>
    <row r="24" spans="2:7" s="8" customFormat="1" ht="20.100000000000001" customHeight="1" thickBot="1" x14ac:dyDescent="0.25">
      <c r="B24" s="5" t="s">
        <v>54</v>
      </c>
      <c r="C24" s="6">
        <f>[66]Tasas!$B$36</f>
        <v>0.94972213484324208</v>
      </c>
      <c r="D24" s="6">
        <f>[66]Tasas!$B$17</f>
        <v>0.91472976757210867</v>
      </c>
      <c r="E24" s="6">
        <f>[66]Tasas!$B$28</f>
        <v>0.93827522218966697</v>
      </c>
      <c r="F24" s="6">
        <f>[66]Tasas!$B$31</f>
        <v>1.3325471698113207</v>
      </c>
      <c r="G24" s="6">
        <f>[66]Tasas!$B$35</f>
        <v>1.1111111111111112</v>
      </c>
    </row>
    <row r="25" spans="2:7" s="8" customFormat="1" ht="20.100000000000001" customHeight="1" thickBot="1" x14ac:dyDescent="0.25">
      <c r="B25" s="5" t="s">
        <v>55</v>
      </c>
      <c r="C25" s="6">
        <f>[67]Tasas!$B$36</f>
        <v>0.95698319362775763</v>
      </c>
      <c r="D25" s="6">
        <f>[67]Tasas!$B$17</f>
        <v>0.91153632834165277</v>
      </c>
      <c r="E25" s="6">
        <f>[67]Tasas!$B$28</f>
        <v>0.97811500351096203</v>
      </c>
      <c r="F25" s="6">
        <f>[67]Tasas!$B$31</f>
        <v>1.0799289520426287</v>
      </c>
      <c r="G25" s="6">
        <f>[67]Tasas!$B$35</f>
        <v>1.1076244813278009</v>
      </c>
    </row>
    <row r="26" spans="2:7" s="8" customFormat="1" ht="20.100000000000001" customHeight="1" thickBot="1" x14ac:dyDescent="0.25">
      <c r="B26" s="5" t="s">
        <v>56</v>
      </c>
      <c r="C26" s="6">
        <f>[68]Tasas!$B$36</f>
        <v>1.0352896583199895</v>
      </c>
      <c r="D26" s="6">
        <f>[68]Tasas!$B$17</f>
        <v>1.0850149636596835</v>
      </c>
      <c r="E26" s="6">
        <f>[68]Tasas!$B$28</f>
        <v>0.99901114579948858</v>
      </c>
      <c r="F26" s="6">
        <f>[68]Tasas!$B$31</f>
        <v>1.0059895833333334</v>
      </c>
      <c r="G26" s="6">
        <f>[68]Tasas!$B$35</f>
        <v>1.0803662258392674</v>
      </c>
    </row>
    <row r="27" spans="2:7" ht="15" thickBot="1" x14ac:dyDescent="0.25">
      <c r="B27" s="5" t="s">
        <v>57</v>
      </c>
      <c r="C27" s="6">
        <f>[69]Tasas!$B$36</f>
        <v>1.0132267842380822</v>
      </c>
      <c r="D27" s="6">
        <f>[69]Tasas!$B$17</f>
        <v>0.99767387764596416</v>
      </c>
      <c r="E27" s="6">
        <f>[69]Tasas!$B$28</f>
        <v>1.0461330732878253</v>
      </c>
      <c r="F27" s="6">
        <f>[69]Tasas!$B$31</f>
        <v>1.0310965630114566</v>
      </c>
      <c r="G27" s="6">
        <f>[69]Tasas!$B$35</f>
        <v>0.89968080255357952</v>
      </c>
    </row>
    <row r="28" spans="2:7" ht="15" thickBot="1" x14ac:dyDescent="0.25">
      <c r="B28" s="5" t="s">
        <v>58</v>
      </c>
      <c r="C28" s="6">
        <f>[70]Tasas!$B$36</f>
        <v>0.98052521884118382</v>
      </c>
      <c r="D28" s="6">
        <f>[70]Tasas!$B$17</f>
        <v>0.97380288619219413</v>
      </c>
      <c r="E28" s="6">
        <f>[70]Tasas!$B$28</f>
        <v>0.99006565007468128</v>
      </c>
      <c r="F28" s="6">
        <f>[70]Tasas!$B$31</f>
        <v>1.0347728547392037</v>
      </c>
      <c r="G28" s="6">
        <f>[70]Tasas!$B$35</f>
        <v>0.93913390540810215</v>
      </c>
    </row>
    <row r="29" spans="2:7" ht="15" thickBot="1" x14ac:dyDescent="0.25">
      <c r="B29" s="5" t="s">
        <v>59</v>
      </c>
      <c r="C29" s="6">
        <f>[71]Tasas!$B$36</f>
        <v>1.0269841025087505</v>
      </c>
      <c r="D29" s="6">
        <f>[71]Tasas!$B$17</f>
        <v>1.1252506980219434</v>
      </c>
      <c r="E29" s="6">
        <f>[71]Tasas!$B$28</f>
        <v>0.94915303995537681</v>
      </c>
      <c r="F29" s="6">
        <f>[71]Tasas!$B$31</f>
        <v>0.93898522800256901</v>
      </c>
      <c r="G29" s="6">
        <f>[71]Tasas!$B$35</f>
        <v>1.1030494216614091</v>
      </c>
    </row>
    <row r="30" spans="2:7" ht="15" thickBot="1" x14ac:dyDescent="0.25">
      <c r="B30" s="5" t="s">
        <v>60</v>
      </c>
      <c r="C30" s="6">
        <f>[72]Tasas!$B$36</f>
        <v>1.0381873727087576</v>
      </c>
      <c r="D30" s="6">
        <f>[72]Tasas!$B$17</f>
        <v>1.0476032692732493</v>
      </c>
      <c r="E30" s="6">
        <f>[72]Tasas!$B$28</f>
        <v>1.0469216164903716</v>
      </c>
      <c r="F30" s="6">
        <f>[72]Tasas!$B$31</f>
        <v>1.2041420118343196</v>
      </c>
      <c r="G30" s="6">
        <f>[72]Tasas!$B$35</f>
        <v>0.83145091225021717</v>
      </c>
    </row>
    <row r="31" spans="2:7" ht="15" thickBot="1" x14ac:dyDescent="0.25">
      <c r="B31" s="5" t="s">
        <v>61</v>
      </c>
      <c r="C31" s="6">
        <f>[73]Tasas!$B$36</f>
        <v>1.0520199225235196</v>
      </c>
      <c r="D31" s="6">
        <f>[73]Tasas!$B$17</f>
        <v>1.0929531757070006</v>
      </c>
      <c r="E31" s="6">
        <f>[73]Tasas!$B$28</f>
        <v>1.0167332667332667</v>
      </c>
      <c r="F31" s="6">
        <f>[73]Tasas!$B$31</f>
        <v>1.0664928292046936</v>
      </c>
      <c r="G31" s="6">
        <f>[73]Tasas!$B$35</f>
        <v>1.1077826725403819</v>
      </c>
    </row>
    <row r="32" spans="2:7" ht="15" thickBot="1" x14ac:dyDescent="0.25">
      <c r="B32" s="5" t="s">
        <v>62</v>
      </c>
      <c r="C32" s="6">
        <f>[74]Tasas!$B$36</f>
        <v>0.98248128979409466</v>
      </c>
      <c r="D32" s="6">
        <f>[74]Tasas!$B$17</f>
        <v>0.96302502234137621</v>
      </c>
      <c r="E32" s="6">
        <f>[74]Tasas!$B$28</f>
        <v>1.0003239840784968</v>
      </c>
      <c r="F32" s="6">
        <f>[74]Tasas!$B$31</f>
        <v>0.99408866995073897</v>
      </c>
      <c r="G32" s="6">
        <f>[74]Tasas!$B$35</f>
        <v>1.0120368185036583</v>
      </c>
    </row>
    <row r="33" spans="2:7" ht="15" thickBot="1" x14ac:dyDescent="0.25">
      <c r="B33" s="5" t="s">
        <v>63</v>
      </c>
      <c r="C33" s="6">
        <f>[75]Tasas!$B$36</f>
        <v>1.0147964753587024</v>
      </c>
      <c r="D33" s="6">
        <f>[75]Tasas!$B$17</f>
        <v>1.0065733577784735</v>
      </c>
      <c r="E33" s="6">
        <f>[75]Tasas!$B$28</f>
        <v>1.0059548486790035</v>
      </c>
      <c r="F33" s="6">
        <f>[75]Tasas!$B$31</f>
        <v>0.98145285935085003</v>
      </c>
      <c r="G33" s="6">
        <f>[75]Tasas!$B$35</f>
        <v>1.2658300057045067</v>
      </c>
    </row>
    <row r="34" spans="2:7" ht="15" thickBot="1" x14ac:dyDescent="0.25">
      <c r="B34" s="5" t="s">
        <v>64</v>
      </c>
      <c r="C34" s="6">
        <f>[76]Tasas!$B$36</f>
        <v>0.99868194261380916</v>
      </c>
      <c r="D34" s="6">
        <f>[76]Tasas!$B$17</f>
        <v>1.0165283075312244</v>
      </c>
      <c r="E34" s="6">
        <f>[76]Tasas!$B$28</f>
        <v>0.99103956260915782</v>
      </c>
      <c r="F34" s="6">
        <f>[76]Tasas!$B$31</f>
        <v>1.074698795180723</v>
      </c>
      <c r="G34" s="6">
        <f>[76]Tasas!$B$35</f>
        <v>0.90806669671022988</v>
      </c>
    </row>
    <row r="35" spans="2:7" ht="15" thickBot="1" x14ac:dyDescent="0.25">
      <c r="B35" s="5" t="s">
        <v>65</v>
      </c>
      <c r="C35" s="6">
        <f>[77]Tasas!$B$36</f>
        <v>1.0287281491536693</v>
      </c>
      <c r="D35" s="6">
        <f>[77]Tasas!$B$17</f>
        <v>1.0145205320322936</v>
      </c>
      <c r="E35" s="6">
        <f>[77]Tasas!$B$28</f>
        <v>1.0108093126385809</v>
      </c>
      <c r="F35" s="6">
        <f>[77]Tasas!$B$31</f>
        <v>1.0375335120643432</v>
      </c>
      <c r="G35" s="6">
        <f>[77]Tasas!$B$35</f>
        <v>1.1628849270664505</v>
      </c>
    </row>
    <row r="36" spans="2:7" ht="15" thickBot="1" x14ac:dyDescent="0.25">
      <c r="B36" s="5" t="s">
        <v>32</v>
      </c>
      <c r="C36" s="6">
        <f>[78]Tasas!$B$36</f>
        <v>0.9921774592751037</v>
      </c>
      <c r="D36" s="6">
        <f>[78]Tasas!$B$17</f>
        <v>0.94254516522225851</v>
      </c>
      <c r="E36" s="6">
        <f>[78]Tasas!$B$28</f>
        <v>1.0377104210754566</v>
      </c>
      <c r="F36" s="6">
        <f>[78]Tasas!$B$31</f>
        <v>0.95329181494661919</v>
      </c>
      <c r="G36" s="6">
        <f>[78]Tasas!$B$35</f>
        <v>1.0807421324565523</v>
      </c>
    </row>
    <row r="37" spans="2:7" ht="15" thickBot="1" x14ac:dyDescent="0.25">
      <c r="B37" s="5" t="s">
        <v>66</v>
      </c>
      <c r="C37" s="6">
        <f>[79]Tasas!$B$36</f>
        <v>1.019817454989931</v>
      </c>
      <c r="D37" s="6">
        <f>[79]Tasas!$B$17</f>
        <v>1.0266871901487287</v>
      </c>
      <c r="E37" s="6">
        <f>[79]Tasas!$B$28</f>
        <v>1.0135455864288454</v>
      </c>
      <c r="F37" s="6">
        <f>[79]Tasas!$B$31</f>
        <v>1.3685991427926911</v>
      </c>
      <c r="G37" s="6">
        <f>[79]Tasas!$B$35</f>
        <v>0.94634665248321259</v>
      </c>
    </row>
    <row r="38" spans="2:7" ht="15" thickBot="1" x14ac:dyDescent="0.25">
      <c r="B38" s="5" t="s">
        <v>33</v>
      </c>
      <c r="C38" s="6">
        <f>[80]Tasas!$B$36</f>
        <v>1.0029640934597874</v>
      </c>
      <c r="D38" s="6">
        <f>[80]Tasas!$B$17</f>
        <v>1.0049287184099955</v>
      </c>
      <c r="E38" s="6">
        <f>[80]Tasas!$B$28</f>
        <v>0.98823274617383772</v>
      </c>
      <c r="F38" s="6">
        <f>[80]Tasas!$B$31</f>
        <v>0.9530324688584848</v>
      </c>
      <c r="G38" s="6">
        <f>[80]Tasas!$B$35</f>
        <v>1.1602743997505456</v>
      </c>
    </row>
    <row r="39" spans="2:7" ht="15" thickBot="1" x14ac:dyDescent="0.25">
      <c r="B39" s="5" t="s">
        <v>34</v>
      </c>
      <c r="C39" s="6">
        <f>[81]Tasas!$B$36</f>
        <v>1.021283255086072</v>
      </c>
      <c r="D39" s="6">
        <f>[81]Tasas!$B$17</f>
        <v>1.0432917785705695</v>
      </c>
      <c r="E39" s="6">
        <f>[81]Tasas!$B$28</f>
        <v>1.0003627130939428</v>
      </c>
      <c r="F39" s="6">
        <f>[81]Tasas!$B$31</f>
        <v>1.2661290322580645</v>
      </c>
      <c r="G39" s="6">
        <f>[81]Tasas!$B$35</f>
        <v>0.97078292627254048</v>
      </c>
    </row>
    <row r="40" spans="2:7" ht="15" thickBot="1" x14ac:dyDescent="0.25">
      <c r="B40" s="5" t="s">
        <v>67</v>
      </c>
      <c r="C40" s="6">
        <f>[82]Tasas!$B$36</f>
        <v>1.0420771263815474</v>
      </c>
      <c r="D40" s="6">
        <f>[82]Tasas!$B$17</f>
        <v>1.0405078597339783</v>
      </c>
      <c r="E40" s="6">
        <f>[82]Tasas!$B$28</f>
        <v>1.0456122954883491</v>
      </c>
      <c r="F40" s="6">
        <f>[82]Tasas!$B$31</f>
        <v>1.1063174114021572</v>
      </c>
      <c r="G40" s="6">
        <f>[82]Tasas!$B$35</f>
        <v>1.0274656679151062</v>
      </c>
    </row>
    <row r="41" spans="2:7" ht="15" thickBot="1" x14ac:dyDescent="0.25">
      <c r="B41" s="5" t="s">
        <v>31</v>
      </c>
      <c r="C41" s="6">
        <f>[83]Tasas!$B$36</f>
        <v>1.0171154884605451</v>
      </c>
      <c r="D41" s="6">
        <f>[83]Tasas!$B$17</f>
        <v>1.0245142195341654</v>
      </c>
      <c r="E41" s="6">
        <f>[83]Tasas!$B$28</f>
        <v>1.0143402515357633</v>
      </c>
      <c r="F41" s="6">
        <f>[83]Tasas!$B$31</f>
        <v>1.3735317149569304</v>
      </c>
      <c r="G41" s="6">
        <f>[83]Tasas!$B$35</f>
        <v>0.90998777719573953</v>
      </c>
    </row>
    <row r="42" spans="2:7" ht="15" thickBot="1" x14ac:dyDescent="0.25">
      <c r="B42" s="5" t="s">
        <v>68</v>
      </c>
      <c r="C42" s="6">
        <f>[84]Tasas!$B$36</f>
        <v>1.0393661104266996</v>
      </c>
      <c r="D42" s="6">
        <f>[84]Tasas!$B$17</f>
        <v>1.1678929765886288</v>
      </c>
      <c r="E42" s="6">
        <f>[84]Tasas!$B$28</f>
        <v>0.96683732836862923</v>
      </c>
      <c r="F42" s="6">
        <f>[84]Tasas!$B$31</f>
        <v>1.0842391304347827</v>
      </c>
      <c r="G42" s="6">
        <f>[84]Tasas!$B$35</f>
        <v>0.79028852920478532</v>
      </c>
    </row>
    <row r="43" spans="2:7" ht="15" thickBot="1" x14ac:dyDescent="0.25">
      <c r="B43" s="5" t="s">
        <v>69</v>
      </c>
      <c r="C43" s="6">
        <f>[85]Tasas!$B$36</f>
        <v>1.008562047199427</v>
      </c>
      <c r="D43" s="6">
        <f>[85]Tasas!$B$17</f>
        <v>0.97374212034383956</v>
      </c>
      <c r="E43" s="6">
        <f>[85]Tasas!$B$28</f>
        <v>1.0158679197556086</v>
      </c>
      <c r="F43" s="6">
        <f>[85]Tasas!$B$31</f>
        <v>0.91898815241754728</v>
      </c>
      <c r="G43" s="6">
        <f>[85]Tasas!$B$35</f>
        <v>1.1813897118233234</v>
      </c>
    </row>
    <row r="44" spans="2:7" ht="15" thickBot="1" x14ac:dyDescent="0.25">
      <c r="B44" s="5" t="s">
        <v>70</v>
      </c>
      <c r="C44" s="6">
        <f>[86]Tasas!$B$36</f>
        <v>1.0310822662690755</v>
      </c>
      <c r="D44" s="6">
        <f>[86]Tasas!$B$17</f>
        <v>1.0370225451835289</v>
      </c>
      <c r="E44" s="6">
        <f>[86]Tasas!$B$28</f>
        <v>1.0393642579929772</v>
      </c>
      <c r="F44" s="6">
        <f>[86]Tasas!$B$31</f>
        <v>0.98239110287303055</v>
      </c>
      <c r="G44" s="6">
        <f>[86]Tasas!$B$35</f>
        <v>0.96608026967239014</v>
      </c>
    </row>
    <row r="45" spans="2:7" ht="15" thickBot="1" x14ac:dyDescent="0.25">
      <c r="B45" s="5" t="s">
        <v>71</v>
      </c>
      <c r="C45" s="6">
        <f>[87]Tasas!$B$36</f>
        <v>1.0207657990178771</v>
      </c>
      <c r="D45" s="6">
        <f>[87]Tasas!$B$17</f>
        <v>1.0537669661005835</v>
      </c>
      <c r="E45" s="6">
        <f>[87]Tasas!$B$28</f>
        <v>0.97942132136778581</v>
      </c>
      <c r="F45" s="6">
        <f>[87]Tasas!$B$31</f>
        <v>0.99370277078085645</v>
      </c>
      <c r="G45" s="6">
        <f>[87]Tasas!$B$35</f>
        <v>1.0448307410795974</v>
      </c>
    </row>
    <row r="46" spans="2:7" ht="15" thickBot="1" x14ac:dyDescent="0.25">
      <c r="B46" s="5" t="s">
        <v>72</v>
      </c>
      <c r="C46" s="6">
        <f>[88]Tasas!$B$36</f>
        <v>0.9818093086066505</v>
      </c>
      <c r="D46" s="6">
        <f>[88]Tasas!$B$17</f>
        <v>0.95506294894570176</v>
      </c>
      <c r="E46" s="6">
        <f>[88]Tasas!$B$28</f>
        <v>0.99477472970343817</v>
      </c>
      <c r="F46" s="6">
        <f>[88]Tasas!$B$31</f>
        <v>0.93022722056460871</v>
      </c>
      <c r="G46" s="6">
        <f>[88]Tasas!$B$35</f>
        <v>1.1017346460384434</v>
      </c>
    </row>
    <row r="47" spans="2:7" ht="15" thickBot="1" x14ac:dyDescent="0.25">
      <c r="B47" s="5" t="s">
        <v>5</v>
      </c>
      <c r="C47" s="6">
        <f>[89]Tasas!$B$36</f>
        <v>1.0109509306260576</v>
      </c>
      <c r="D47" s="6">
        <f>[89]Tasas!$B$17</f>
        <v>1.0563095501883448</v>
      </c>
      <c r="E47" s="6">
        <f>[89]Tasas!$B$28</f>
        <v>1.0041338712877836</v>
      </c>
      <c r="F47" s="6">
        <f>[89]Tasas!$B$31</f>
        <v>0.8833333333333333</v>
      </c>
      <c r="G47" s="6">
        <f>[89]Tasas!$B$35</f>
        <v>0.80692345197464654</v>
      </c>
    </row>
    <row r="48" spans="2:7" ht="15" thickBot="1" x14ac:dyDescent="0.25">
      <c r="B48" s="5" t="s">
        <v>73</v>
      </c>
      <c r="C48" s="6">
        <f>[90]Tasas!$B$36</f>
        <v>0.99063364344983651</v>
      </c>
      <c r="D48" s="6">
        <f>[90]Tasas!$B$17</f>
        <v>0.99652949925632128</v>
      </c>
      <c r="E48" s="6">
        <f>[90]Tasas!$B$28</f>
        <v>0.98541716471431984</v>
      </c>
      <c r="F48" s="6">
        <f>[90]Tasas!$B$31</f>
        <v>0.84969325153374231</v>
      </c>
      <c r="G48" s="6">
        <f>[90]Tasas!$B$35</f>
        <v>1.0369098712446352</v>
      </c>
    </row>
    <row r="49" spans="2:7" ht="15" thickBot="1" x14ac:dyDescent="0.25">
      <c r="B49" s="5" t="s">
        <v>74</v>
      </c>
      <c r="C49" s="6">
        <f>[91]Tasas!$B$36</f>
        <v>1.0360829024562959</v>
      </c>
      <c r="D49" s="6">
        <f>[91]Tasas!$B$17</f>
        <v>1.0447134883347389</v>
      </c>
      <c r="E49" s="6">
        <f>[91]Tasas!$B$28</f>
        <v>1.0282214121979631</v>
      </c>
      <c r="F49" s="6">
        <f>[91]Tasas!$B$31</f>
        <v>1.0281221091581869</v>
      </c>
      <c r="G49" s="6">
        <f>[91]Tasas!$B$35</f>
        <v>1.0516760726184811</v>
      </c>
    </row>
    <row r="50" spans="2:7" ht="15" thickBot="1" x14ac:dyDescent="0.25">
      <c r="B50" s="5" t="s">
        <v>75</v>
      </c>
      <c r="C50" s="6">
        <f>[92]Tasas!$B$36</f>
        <v>1.0197608431293068</v>
      </c>
      <c r="D50" s="6">
        <f>[92]Tasas!$B$17</f>
        <v>1.000463177396943</v>
      </c>
      <c r="E50" s="6">
        <f>[92]Tasas!$B$28</f>
        <v>1.0109233305853256</v>
      </c>
      <c r="F50" s="6">
        <f>[92]Tasas!$B$31</f>
        <v>1.6299559471365639</v>
      </c>
      <c r="G50" s="6">
        <f>[92]Tasas!$B$35</f>
        <v>0.99363057324840764</v>
      </c>
    </row>
    <row r="51" spans="2:7" ht="15" thickBot="1" x14ac:dyDescent="0.25">
      <c r="B51" s="5" t="s">
        <v>76</v>
      </c>
      <c r="C51" s="6">
        <f>[93]Tasas!$B$36</f>
        <v>0.986674922390541</v>
      </c>
      <c r="D51" s="6">
        <f>[93]Tasas!$B$17</f>
        <v>0.95272153923495273</v>
      </c>
      <c r="E51" s="6">
        <f>[93]Tasas!$B$28</f>
        <v>1.0115802206880273</v>
      </c>
      <c r="F51" s="6">
        <f>[93]Tasas!$B$31</f>
        <v>1.0027829313543599</v>
      </c>
      <c r="G51" s="6">
        <f>[93]Tasas!$B$35</f>
        <v>0.94497153700189751</v>
      </c>
    </row>
    <row r="52" spans="2:7" ht="15" thickBot="1" x14ac:dyDescent="0.25">
      <c r="B52" s="5" t="s">
        <v>77</v>
      </c>
      <c r="C52" s="6">
        <f>[94]Tasas!$B$36</f>
        <v>1.0107266113235707</v>
      </c>
      <c r="D52" s="6">
        <f>[94]Tasas!$B$17</f>
        <v>1.000244140625</v>
      </c>
      <c r="E52" s="6">
        <f>[94]Tasas!$B$28</f>
        <v>1.003151434732128</v>
      </c>
      <c r="F52" s="6">
        <f>[94]Tasas!$B$31</f>
        <v>1.2383419689119171</v>
      </c>
      <c r="G52" s="6">
        <f>[94]Tasas!$B$35</f>
        <v>1.1215880893300247</v>
      </c>
    </row>
    <row r="53" spans="2:7" ht="15" thickBot="1" x14ac:dyDescent="0.25">
      <c r="B53" s="5" t="s">
        <v>78</v>
      </c>
      <c r="C53" s="6">
        <f>[95]Tasas!$B$36</f>
        <v>0.93428261573780647</v>
      </c>
      <c r="D53" s="6">
        <f>[95]Tasas!$B$17</f>
        <v>0.88868993454075795</v>
      </c>
      <c r="E53" s="6">
        <f>[95]Tasas!$B$28</f>
        <v>0.95951114842802498</v>
      </c>
      <c r="F53" s="6">
        <f>[95]Tasas!$B$31</f>
        <v>1.1016666666666666</v>
      </c>
      <c r="G53" s="6">
        <f>[95]Tasas!$B$35</f>
        <v>1.0855465473860777</v>
      </c>
    </row>
    <row r="54" spans="2:7" ht="15" thickBot="1" x14ac:dyDescent="0.25">
      <c r="B54" s="5" t="s">
        <v>79</v>
      </c>
      <c r="C54" s="6">
        <f>[96]Tasas!$B$36</f>
        <v>1.0208025003175616</v>
      </c>
      <c r="D54" s="6">
        <f>[96]Tasas!$B$17</f>
        <v>1.0279212685547461</v>
      </c>
      <c r="E54" s="6">
        <f>[96]Tasas!$B$28</f>
        <v>1.0091360853926801</v>
      </c>
      <c r="F54" s="6">
        <f>[96]Tasas!$B$31</f>
        <v>1.1367405978784957</v>
      </c>
      <c r="G54" s="6">
        <f>[96]Tasas!$B$35</f>
        <v>1.0324810982888977</v>
      </c>
    </row>
    <row r="55" spans="2:7" ht="15" thickBot="1" x14ac:dyDescent="0.25">
      <c r="B55" s="5" t="s">
        <v>80</v>
      </c>
      <c r="C55" s="6">
        <f>[97]Tasas!$B$36</f>
        <v>0.99035902585990454</v>
      </c>
      <c r="D55" s="6">
        <f>[97]Tasas!$B$17</f>
        <v>0.95418281285616591</v>
      </c>
      <c r="E55" s="6">
        <f>[97]Tasas!$B$28</f>
        <v>1.0451534698471796</v>
      </c>
      <c r="F55" s="6">
        <f>[97]Tasas!$B$31</f>
        <v>1.1061320754716981</v>
      </c>
      <c r="G55" s="6">
        <f>[97]Tasas!$B$35</f>
        <v>0.92561629153269021</v>
      </c>
    </row>
    <row r="56" spans="2:7" ht="15" thickBot="1" x14ac:dyDescent="0.25">
      <c r="B56" s="5" t="s">
        <v>81</v>
      </c>
      <c r="C56" s="6">
        <f>[98]Tasas!$B$36</f>
        <v>1.0313755768859565</v>
      </c>
      <c r="D56" s="6">
        <f>[98]Tasas!$B$17</f>
        <v>1.0405948858031717</v>
      </c>
      <c r="E56" s="6">
        <f>[98]Tasas!$B$28</f>
        <v>1.03681720813995</v>
      </c>
      <c r="F56" s="6">
        <f>[98]Tasas!$B$31</f>
        <v>0.97205882352941175</v>
      </c>
      <c r="G56" s="6">
        <f>[98]Tasas!$B$35</f>
        <v>0.98909873628662681</v>
      </c>
    </row>
    <row r="57" spans="2:7" ht="15" thickBot="1" x14ac:dyDescent="0.25">
      <c r="B57" s="5" t="s">
        <v>82</v>
      </c>
      <c r="C57" s="6">
        <f>[99]Tasas!$B$36</f>
        <v>0.97653021872073165</v>
      </c>
      <c r="D57" s="6">
        <f>[99]Tasas!$B$17</f>
        <v>0.962192118226601</v>
      </c>
      <c r="E57" s="6">
        <f>[99]Tasas!$B$28</f>
        <v>0.98414003759398494</v>
      </c>
      <c r="F57" s="6">
        <f>[99]Tasas!$B$31</f>
        <v>1.153623188405797</v>
      </c>
      <c r="G57" s="6">
        <f>[99]Tasas!$B$35</f>
        <v>0.96848381601362865</v>
      </c>
    </row>
    <row r="58" spans="2:7" ht="15" thickBot="1" x14ac:dyDescent="0.25">
      <c r="B58" s="5" t="s">
        <v>83</v>
      </c>
      <c r="C58" s="6">
        <f>[100]Tasas!$B$36</f>
        <v>1.0340558671307234</v>
      </c>
      <c r="D58" s="6">
        <f>[100]Tasas!$B$17</f>
        <v>1.0355973357688624</v>
      </c>
      <c r="E58" s="6">
        <f>[100]Tasas!$B$28</f>
        <v>1.0228785284304553</v>
      </c>
      <c r="F58" s="6">
        <f>[100]Tasas!$B$31</f>
        <v>1.0360360360360361</v>
      </c>
      <c r="G58" s="6">
        <f>[100]Tasas!$B$35</f>
        <v>1.1100407055630936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D7383-6885-443A-9607-59C730622479}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f>[101]Tasas!$B$36</f>
        <v>0.92802319631587926</v>
      </c>
      <c r="D9" s="6">
        <f>[101]Tasas!$B$17</f>
        <v>1.009363580998782</v>
      </c>
      <c r="E9" s="6">
        <f>[101]Tasas!$B$28</f>
        <v>0.96453834698436336</v>
      </c>
      <c r="F9" s="6">
        <f>[101]Tasas!$B$31</f>
        <v>0.60865724381625441</v>
      </c>
      <c r="G9" s="6">
        <f>[101]Tasas!$B$35</f>
        <v>0.69536423841059603</v>
      </c>
    </row>
    <row r="10" spans="2:7" s="8" customFormat="1" ht="20.100000000000001" customHeight="1" thickBot="1" x14ac:dyDescent="0.25">
      <c r="B10" s="5" t="s">
        <v>40</v>
      </c>
      <c r="C10" s="6">
        <f>[102]Tasas!$B$36</f>
        <v>0.93021452571723962</v>
      </c>
      <c r="D10" s="6">
        <f>[102]Tasas!$B$17</f>
        <v>0.89837844428188252</v>
      </c>
      <c r="E10" s="6">
        <f>[102]Tasas!$B$28</f>
        <v>0.97375432986943777</v>
      </c>
      <c r="F10" s="6">
        <f>[102]Tasas!$B$31</f>
        <v>1.0854816824966078</v>
      </c>
      <c r="G10" s="6">
        <f>[102]Tasas!$B$35</f>
        <v>0.83808095952023987</v>
      </c>
    </row>
    <row r="11" spans="2:7" s="8" customFormat="1" ht="20.100000000000001" customHeight="1" thickBot="1" x14ac:dyDescent="0.25">
      <c r="B11" s="5" t="s">
        <v>41</v>
      </c>
      <c r="C11" s="6">
        <f>[103]Tasas!$B$36</f>
        <v>0.96011258274975708</v>
      </c>
      <c r="D11" s="6">
        <f>[103]Tasas!$B$17</f>
        <v>0.92576832151300237</v>
      </c>
      <c r="E11" s="6">
        <f>[103]Tasas!$B$28</f>
        <v>1.003416412766595</v>
      </c>
      <c r="F11" s="6">
        <f>[103]Tasas!$B$31</f>
        <v>1.0306586826347306</v>
      </c>
      <c r="G11" s="6">
        <f>[103]Tasas!$B$35</f>
        <v>0.83625680463146979</v>
      </c>
    </row>
    <row r="12" spans="2:7" s="8" customFormat="1" ht="20.100000000000001" customHeight="1" thickBot="1" x14ac:dyDescent="0.25">
      <c r="B12" s="5" t="s">
        <v>42</v>
      </c>
      <c r="C12" s="6">
        <f>[104]Tasas!$B$36</f>
        <v>0.94248677375338141</v>
      </c>
      <c r="D12" s="6">
        <f>[104]Tasas!$B$17</f>
        <v>0.92714263967118282</v>
      </c>
      <c r="E12" s="6">
        <f>[104]Tasas!$B$28</f>
        <v>0.9720227893834823</v>
      </c>
      <c r="F12" s="6">
        <f>[104]Tasas!$B$31</f>
        <v>1.0970873786407767</v>
      </c>
      <c r="G12" s="6">
        <f>[104]Tasas!$B$35</f>
        <v>0.75586523196330924</v>
      </c>
    </row>
    <row r="13" spans="2:7" s="8" customFormat="1" ht="20.100000000000001" customHeight="1" thickBot="1" x14ac:dyDescent="0.25">
      <c r="B13" s="5" t="s">
        <v>43</v>
      </c>
      <c r="C13" s="6">
        <f>[105]Tasas!$B$36</f>
        <v>0.91403075452155202</v>
      </c>
      <c r="D13" s="6">
        <f>[105]Tasas!$B$17</f>
        <v>0.91748813435560428</v>
      </c>
      <c r="E13" s="6">
        <f>[105]Tasas!$B$28</f>
        <v>0.91002736198293899</v>
      </c>
      <c r="F13" s="6">
        <f>[105]Tasas!$B$31</f>
        <v>1.0760000000000001</v>
      </c>
      <c r="G13" s="6">
        <f>[105]Tasas!$B$35</f>
        <v>0.85737704918032787</v>
      </c>
    </row>
    <row r="14" spans="2:7" s="8" customFormat="1" ht="20.100000000000001" customHeight="1" thickBot="1" x14ac:dyDescent="0.25">
      <c r="B14" s="5" t="s">
        <v>44</v>
      </c>
      <c r="C14" s="6">
        <f>[106]Tasas!$B$36</f>
        <v>0.93842012834610777</v>
      </c>
      <c r="D14" s="6">
        <f>[106]Tasas!$B$17</f>
        <v>0.94288901282766313</v>
      </c>
      <c r="E14" s="6">
        <f>[106]Tasas!$B$28</f>
        <v>0.95936287522973251</v>
      </c>
      <c r="F14" s="6">
        <f>[106]Tasas!$B$31</f>
        <v>0.90417136414881627</v>
      </c>
      <c r="G14" s="6">
        <f>[106]Tasas!$B$35</f>
        <v>0.751128818061089</v>
      </c>
    </row>
    <row r="15" spans="2:7" s="8" customFormat="1" ht="20.100000000000001" customHeight="1" thickBot="1" x14ac:dyDescent="0.25">
      <c r="B15" s="5" t="s">
        <v>45</v>
      </c>
      <c r="C15" s="6">
        <f>[107]Tasas!$B$36</f>
        <v>0.95487587644494976</v>
      </c>
      <c r="D15" s="6">
        <f>[107]Tasas!$B$17</f>
        <v>0.92280531476957062</v>
      </c>
      <c r="E15" s="6">
        <f>[107]Tasas!$B$28</f>
        <v>0.98769162619247264</v>
      </c>
      <c r="F15" s="6">
        <f>[107]Tasas!$B$31</f>
        <v>0.98161586840832127</v>
      </c>
      <c r="G15" s="6">
        <f>[107]Tasas!$B$35</f>
        <v>0.92395878682339283</v>
      </c>
    </row>
    <row r="16" spans="2:7" s="8" customFormat="1" ht="20.100000000000001" customHeight="1" thickBot="1" x14ac:dyDescent="0.25">
      <c r="B16" s="5" t="s">
        <v>46</v>
      </c>
      <c r="C16" s="6">
        <f>[108]Tasas!$B$36</f>
        <v>0.94035989972120915</v>
      </c>
      <c r="D16" s="6">
        <f>[108]Tasas!$B$17</f>
        <v>0.9345626264897684</v>
      </c>
      <c r="E16" s="6">
        <f>[108]Tasas!$B$28</f>
        <v>0.96481810586066497</v>
      </c>
      <c r="F16" s="6">
        <f>[108]Tasas!$B$31</f>
        <v>0.96487858416792427</v>
      </c>
      <c r="G16" s="6">
        <f>[108]Tasas!$B$35</f>
        <v>0.79796916309866406</v>
      </c>
    </row>
    <row r="17" spans="2:7" s="8" customFormat="1" ht="20.100000000000001" customHeight="1" thickBot="1" x14ac:dyDescent="0.25">
      <c r="B17" s="5" t="s">
        <v>47</v>
      </c>
      <c r="C17" s="6">
        <f>[109]Tasas!$B$36</f>
        <v>0.94126802337532667</v>
      </c>
      <c r="D17" s="6">
        <f>[109]Tasas!$B$17</f>
        <v>0.99308573686290003</v>
      </c>
      <c r="E17" s="6">
        <f>[109]Tasas!$B$28</f>
        <v>0.96429736962339274</v>
      </c>
      <c r="F17" s="6">
        <f>[109]Tasas!$B$31</f>
        <v>0.9871060171919771</v>
      </c>
      <c r="G17" s="6">
        <f>[109]Tasas!$B$35</f>
        <v>0.5298455056179775</v>
      </c>
    </row>
    <row r="18" spans="2:7" s="8" customFormat="1" ht="20.100000000000001" customHeight="1" thickBot="1" x14ac:dyDescent="0.25">
      <c r="B18" s="5" t="s">
        <v>48</v>
      </c>
      <c r="C18" s="6">
        <f>[110]Tasas!$B$36</f>
        <v>1.0061778407940045</v>
      </c>
      <c r="D18" s="6">
        <f>[110]Tasas!$B$17</f>
        <v>1.0953238882974368</v>
      </c>
      <c r="E18" s="6">
        <f>[110]Tasas!$B$28</f>
        <v>0.94327704009281943</v>
      </c>
      <c r="F18" s="6">
        <f>[110]Tasas!$B$31</f>
        <v>1.014792899408284</v>
      </c>
      <c r="G18" s="6">
        <f>[110]Tasas!$B$35</f>
        <v>0.93200769724182164</v>
      </c>
    </row>
    <row r="19" spans="2:7" s="8" customFormat="1" ht="20.100000000000001" customHeight="1" thickBot="1" x14ac:dyDescent="0.25">
      <c r="B19" s="5" t="s">
        <v>49</v>
      </c>
      <c r="C19" s="6">
        <f>[111]Tasas!$B$36</f>
        <v>0.95576410155092362</v>
      </c>
      <c r="D19" s="6">
        <f>[111]Tasas!$B$17</f>
        <v>0.93038646122758273</v>
      </c>
      <c r="E19" s="6">
        <f>[111]Tasas!$B$28</f>
        <v>0.96642793771617397</v>
      </c>
      <c r="F19" s="6">
        <f>[111]Tasas!$B$31</f>
        <v>1.4570259208731242</v>
      </c>
      <c r="G19" s="6">
        <f>[111]Tasas!$B$35</f>
        <v>0.69942196531791911</v>
      </c>
    </row>
    <row r="20" spans="2:7" s="8" customFormat="1" ht="20.100000000000001" customHeight="1" thickBot="1" x14ac:dyDescent="0.25">
      <c r="B20" s="5" t="s">
        <v>50</v>
      </c>
      <c r="C20" s="6">
        <f>[112]Tasas!$B$36</f>
        <v>0.94345471210732434</v>
      </c>
      <c r="D20" s="6">
        <f>[112]Tasas!$B$17</f>
        <v>0.93239957908487248</v>
      </c>
      <c r="E20" s="6">
        <f>[112]Tasas!$B$28</f>
        <v>0.96558455643120522</v>
      </c>
      <c r="F20" s="6">
        <f>[112]Tasas!$B$31</f>
        <v>0.96253122398001667</v>
      </c>
      <c r="G20" s="6">
        <f>[112]Tasas!$B$35</f>
        <v>0.85124197599776719</v>
      </c>
    </row>
    <row r="21" spans="2:7" s="8" customFormat="1" ht="20.100000000000001" customHeight="1" thickBot="1" x14ac:dyDescent="0.25">
      <c r="B21" s="5" t="s">
        <v>51</v>
      </c>
      <c r="C21" s="6">
        <f>[113]Tasas!$B$36</f>
        <v>0.9461372387544793</v>
      </c>
      <c r="D21" s="6">
        <f>[113]Tasas!$B$17</f>
        <v>0.91148138505597498</v>
      </c>
      <c r="E21" s="6">
        <f>[113]Tasas!$B$28</f>
        <v>0.98646630154347525</v>
      </c>
      <c r="F21" s="6">
        <f>[113]Tasas!$B$31</f>
        <v>0.85892634207240948</v>
      </c>
      <c r="G21" s="6">
        <f>[113]Tasas!$B$35</f>
        <v>0.89116607773851586</v>
      </c>
    </row>
    <row r="22" spans="2:7" s="8" customFormat="1" ht="15" thickBot="1" x14ac:dyDescent="0.25">
      <c r="B22" s="5" t="s">
        <v>52</v>
      </c>
      <c r="C22" s="6">
        <f>[114]Tasas!$B$36</f>
        <v>0.95887841757627301</v>
      </c>
      <c r="D22" s="6">
        <f>[114]Tasas!$B$17</f>
        <v>0.94662459297055956</v>
      </c>
      <c r="E22" s="6">
        <f>[114]Tasas!$B$28</f>
        <v>0.9881188511583624</v>
      </c>
      <c r="F22" s="6">
        <f>[114]Tasas!$B$31</f>
        <v>0.98800599700149927</v>
      </c>
      <c r="G22" s="6">
        <f>[114]Tasas!$B$35</f>
        <v>0.69214684014869887</v>
      </c>
    </row>
    <row r="23" spans="2:7" s="8" customFormat="1" ht="20.100000000000001" customHeight="1" thickBot="1" x14ac:dyDescent="0.25">
      <c r="B23" s="5" t="s">
        <v>53</v>
      </c>
      <c r="C23" s="6">
        <f>[115]Tasas!$B$36</f>
        <v>0.93518102091297506</v>
      </c>
      <c r="D23" s="6">
        <f>[115]Tasas!$B$17</f>
        <v>0.91158641856896216</v>
      </c>
      <c r="E23" s="6">
        <f>[115]Tasas!$B$28</f>
        <v>0.97929223048239955</v>
      </c>
      <c r="F23" s="6">
        <f>[115]Tasas!$B$31</f>
        <v>0.81635330126803674</v>
      </c>
      <c r="G23" s="6">
        <f>[115]Tasas!$B$35</f>
        <v>0.89596690796277145</v>
      </c>
    </row>
    <row r="24" spans="2:7" s="8" customFormat="1" ht="20.100000000000001" customHeight="1" thickBot="1" x14ac:dyDescent="0.25">
      <c r="B24" s="5" t="s">
        <v>54</v>
      </c>
      <c r="C24" s="6">
        <f>[116]Tasas!$B$36</f>
        <v>0.86802874621369608</v>
      </c>
      <c r="D24" s="6">
        <f>[116]Tasas!$B$17</f>
        <v>0.87516087516087515</v>
      </c>
      <c r="E24" s="6">
        <f>[116]Tasas!$B$28</f>
        <v>0.88305274971941639</v>
      </c>
      <c r="F24" s="6">
        <f>[116]Tasas!$B$31</f>
        <v>0.71992481203007519</v>
      </c>
      <c r="G24" s="6">
        <f>[116]Tasas!$B$35</f>
        <v>0.78371501272264632</v>
      </c>
    </row>
    <row r="25" spans="2:7" s="8" customFormat="1" ht="20.100000000000001" customHeight="1" thickBot="1" x14ac:dyDescent="0.25">
      <c r="B25" s="5" t="s">
        <v>55</v>
      </c>
      <c r="C25" s="6">
        <f>[117]Tasas!$B$36</f>
        <v>0.93510760031006612</v>
      </c>
      <c r="D25" s="6">
        <f>[117]Tasas!$B$17</f>
        <v>0.90696265786365426</v>
      </c>
      <c r="E25" s="6">
        <f>[117]Tasas!$B$28</f>
        <v>0.95819597069597073</v>
      </c>
      <c r="F25" s="6">
        <f>[117]Tasas!$B$31</f>
        <v>1.1838006230529594</v>
      </c>
      <c r="G25" s="6">
        <f>[117]Tasas!$B$35</f>
        <v>0.84685682636388815</v>
      </c>
    </row>
    <row r="26" spans="2:7" s="8" customFormat="1" ht="20.100000000000001" customHeight="1" thickBot="1" x14ac:dyDescent="0.25">
      <c r="B26" s="5" t="s">
        <v>56</v>
      </c>
      <c r="C26" s="6">
        <f>[118]Tasas!$B$36</f>
        <v>0.95897917782715225</v>
      </c>
      <c r="D26" s="6">
        <f>[118]Tasas!$B$17</f>
        <v>0.96370372163974916</v>
      </c>
      <c r="E26" s="6">
        <f>[118]Tasas!$B$28</f>
        <v>0.97059647619204592</v>
      </c>
      <c r="F26" s="6">
        <f>[118]Tasas!$B$31</f>
        <v>1.1540663009778203</v>
      </c>
      <c r="G26" s="6">
        <f>[118]Tasas!$B$35</f>
        <v>0.73598130841121501</v>
      </c>
    </row>
    <row r="27" spans="2:7" ht="15" thickBot="1" x14ac:dyDescent="0.25">
      <c r="B27" s="5" t="s">
        <v>57</v>
      </c>
      <c r="C27" s="6">
        <f>[119]Tasas!$B$36</f>
        <v>0.96452229040516924</v>
      </c>
      <c r="D27" s="6">
        <f>[119]Tasas!$B$17</f>
        <v>0.96419526678892675</v>
      </c>
      <c r="E27" s="6">
        <f>[119]Tasas!$B$28</f>
        <v>1.0021016081871346</v>
      </c>
      <c r="F27" s="6">
        <f>[119]Tasas!$B$31</f>
        <v>0.98562628336755642</v>
      </c>
      <c r="G27" s="6">
        <f>[119]Tasas!$B$35</f>
        <v>0.72231884057971019</v>
      </c>
    </row>
    <row r="28" spans="2:7" ht="15" thickBot="1" x14ac:dyDescent="0.25">
      <c r="B28" s="5" t="s">
        <v>58</v>
      </c>
      <c r="C28" s="6">
        <f>[120]Tasas!$B$36</f>
        <v>0.96564564793950269</v>
      </c>
      <c r="D28" s="6">
        <f>[120]Tasas!$B$17</f>
        <v>0.95563490510663274</v>
      </c>
      <c r="E28" s="6">
        <f>[120]Tasas!$B$28</f>
        <v>0.97655896119583274</v>
      </c>
      <c r="F28" s="6">
        <f>[120]Tasas!$B$31</f>
        <v>1.1896325459317585</v>
      </c>
      <c r="G28" s="6">
        <f>[120]Tasas!$B$35</f>
        <v>0.85663082437275984</v>
      </c>
    </row>
    <row r="29" spans="2:7" ht="15" thickBot="1" x14ac:dyDescent="0.25">
      <c r="B29" s="5" t="s">
        <v>59</v>
      </c>
      <c r="C29" s="6">
        <f>[121]Tasas!$B$36</f>
        <v>0.94332947936979072</v>
      </c>
      <c r="D29" s="6">
        <f>[121]Tasas!$B$17</f>
        <v>0.94407977783388031</v>
      </c>
      <c r="E29" s="6">
        <f>[121]Tasas!$B$28</f>
        <v>0.93569642495100358</v>
      </c>
      <c r="F29" s="6">
        <f>[121]Tasas!$B$31</f>
        <v>1.4315004659832247</v>
      </c>
      <c r="G29" s="6">
        <f>[121]Tasas!$B$35</f>
        <v>0.85352673492605236</v>
      </c>
    </row>
    <row r="30" spans="2:7" ht="15" thickBot="1" x14ac:dyDescent="0.25">
      <c r="B30" s="5" t="s">
        <v>60</v>
      </c>
      <c r="C30" s="6">
        <f>[122]Tasas!$B$36</f>
        <v>0.97846589122917327</v>
      </c>
      <c r="D30" s="6">
        <f>[122]Tasas!$B$17</f>
        <v>0.97803152538165572</v>
      </c>
      <c r="E30" s="6">
        <f>[122]Tasas!$B$28</f>
        <v>0.98974674459140777</v>
      </c>
      <c r="F30" s="6">
        <f>[122]Tasas!$B$31</f>
        <v>1.3015873015873016</v>
      </c>
      <c r="G30" s="6">
        <f>[122]Tasas!$B$35</f>
        <v>0.76170655567117584</v>
      </c>
    </row>
    <row r="31" spans="2:7" ht="15" thickBot="1" x14ac:dyDescent="0.25">
      <c r="B31" s="5" t="s">
        <v>61</v>
      </c>
      <c r="C31" s="6">
        <f>[123]Tasas!$B$36</f>
        <v>0.9708348939080591</v>
      </c>
      <c r="D31" s="6">
        <f>[123]Tasas!$B$17</f>
        <v>0.96846553966189852</v>
      </c>
      <c r="E31" s="6">
        <f>[123]Tasas!$B$28</f>
        <v>0.97044259219389173</v>
      </c>
      <c r="F31" s="6">
        <f>[123]Tasas!$B$31</f>
        <v>1.3681229773462784</v>
      </c>
      <c r="G31" s="6">
        <f>[123]Tasas!$B$35</f>
        <v>0.83322411533420704</v>
      </c>
    </row>
    <row r="32" spans="2:7" ht="15" thickBot="1" x14ac:dyDescent="0.25">
      <c r="B32" s="5" t="s">
        <v>62</v>
      </c>
      <c r="C32" s="6">
        <f>[124]Tasas!$B$36</f>
        <v>0.96712245253440166</v>
      </c>
      <c r="D32" s="6">
        <f>[124]Tasas!$B$17</f>
        <v>0.95028602560610187</v>
      </c>
      <c r="E32" s="6">
        <f>[124]Tasas!$B$28</f>
        <v>0.97901157981803144</v>
      </c>
      <c r="F32" s="6">
        <f>[124]Tasas!$B$31</f>
        <v>0.9733893557422969</v>
      </c>
      <c r="G32" s="6">
        <f>[124]Tasas!$B$35</f>
        <v>1.0026014568158168</v>
      </c>
    </row>
    <row r="33" spans="2:7" ht="15" thickBot="1" x14ac:dyDescent="0.25">
      <c r="B33" s="5" t="s">
        <v>63</v>
      </c>
      <c r="C33" s="6">
        <f>[125]Tasas!$B$36</f>
        <v>0.93008903969211854</v>
      </c>
      <c r="D33" s="6">
        <f>[125]Tasas!$B$17</f>
        <v>0.94773154923688063</v>
      </c>
      <c r="E33" s="6">
        <f>[125]Tasas!$B$28</f>
        <v>0.91932647498461273</v>
      </c>
      <c r="F33" s="6">
        <f>[125]Tasas!$B$31</f>
        <v>0.80270793036750487</v>
      </c>
      <c r="G33" s="6">
        <f>[125]Tasas!$B$35</f>
        <v>0.91238471673254284</v>
      </c>
    </row>
    <row r="34" spans="2:7" ht="15" thickBot="1" x14ac:dyDescent="0.25">
      <c r="B34" s="5" t="s">
        <v>64</v>
      </c>
      <c r="C34" s="6">
        <f>[126]Tasas!$B$36</f>
        <v>0.96505862910206974</v>
      </c>
      <c r="D34" s="6">
        <f>[126]Tasas!$B$17</f>
        <v>0.96659149753612295</v>
      </c>
      <c r="E34" s="6">
        <f>[126]Tasas!$B$28</f>
        <v>0.97362898074641846</v>
      </c>
      <c r="F34" s="6">
        <f>[126]Tasas!$B$31</f>
        <v>1.052870090634441</v>
      </c>
      <c r="G34" s="6">
        <f>[126]Tasas!$B$35</f>
        <v>0.87142857142857144</v>
      </c>
    </row>
    <row r="35" spans="2:7" ht="15" thickBot="1" x14ac:dyDescent="0.25">
      <c r="B35" s="5" t="s">
        <v>65</v>
      </c>
      <c r="C35" s="6">
        <f>[127]Tasas!$B$36</f>
        <v>0.96273428195323763</v>
      </c>
      <c r="D35" s="6">
        <f>[127]Tasas!$B$17</f>
        <v>0.92772946859903382</v>
      </c>
      <c r="E35" s="6">
        <f>[127]Tasas!$B$28</f>
        <v>0.98460692688290274</v>
      </c>
      <c r="F35" s="6">
        <f>[127]Tasas!$B$31</f>
        <v>1.1335740072202165</v>
      </c>
      <c r="G35" s="6">
        <f>[127]Tasas!$B$35</f>
        <v>1.017776341305753</v>
      </c>
    </row>
    <row r="36" spans="2:7" ht="15" thickBot="1" x14ac:dyDescent="0.25">
      <c r="B36" s="5" t="s">
        <v>32</v>
      </c>
      <c r="C36" s="6">
        <f>[128]Tasas!$B$36</f>
        <v>0.89902674354103984</v>
      </c>
      <c r="D36" s="6">
        <f>[128]Tasas!$B$17</f>
        <v>0.82688635241178732</v>
      </c>
      <c r="E36" s="6">
        <f>[128]Tasas!$B$28</f>
        <v>0.9994472584927373</v>
      </c>
      <c r="F36" s="6">
        <f>[128]Tasas!$B$31</f>
        <v>1.0324350989702165</v>
      </c>
      <c r="G36" s="6">
        <f>[128]Tasas!$B$35</f>
        <v>0.75107498093430036</v>
      </c>
    </row>
    <row r="37" spans="2:7" ht="15" thickBot="1" x14ac:dyDescent="0.25">
      <c r="B37" s="5" t="s">
        <v>66</v>
      </c>
      <c r="C37" s="6">
        <f>[129]Tasas!$B$36</f>
        <v>0.9526458379182382</v>
      </c>
      <c r="D37" s="6">
        <f>[129]Tasas!$B$17</f>
        <v>0.93281432554050459</v>
      </c>
      <c r="E37" s="6">
        <f>[129]Tasas!$B$28</f>
        <v>0.98486135685678333</v>
      </c>
      <c r="F37" s="6">
        <f>[129]Tasas!$B$31</f>
        <v>1.1512096774193548</v>
      </c>
      <c r="G37" s="6">
        <f>[129]Tasas!$B$35</f>
        <v>0.67586295393301676</v>
      </c>
    </row>
    <row r="38" spans="2:7" ht="15" thickBot="1" x14ac:dyDescent="0.25">
      <c r="B38" s="5" t="s">
        <v>33</v>
      </c>
      <c r="C38" s="6">
        <f>[130]Tasas!$B$36</f>
        <v>0.9289351492241037</v>
      </c>
      <c r="D38" s="6">
        <f>[130]Tasas!$B$17</f>
        <v>0.91856507657682385</v>
      </c>
      <c r="E38" s="6">
        <f>[130]Tasas!$B$28</f>
        <v>0.95729033754784831</v>
      </c>
      <c r="F38" s="6">
        <f>[130]Tasas!$B$31</f>
        <v>0.97329448895362947</v>
      </c>
      <c r="G38" s="6">
        <f>[130]Tasas!$B$35</f>
        <v>0.75240520656479914</v>
      </c>
    </row>
    <row r="39" spans="2:7" ht="15" thickBot="1" x14ac:dyDescent="0.25">
      <c r="B39" s="5" t="s">
        <v>34</v>
      </c>
      <c r="C39" s="6">
        <f>[131]Tasas!$B$36</f>
        <v>0.97589991141002697</v>
      </c>
      <c r="D39" s="6">
        <f>[131]Tasas!$B$17</f>
        <v>0.95203367431843766</v>
      </c>
      <c r="E39" s="6">
        <f>[131]Tasas!$B$28</f>
        <v>1.0042344845838296</v>
      </c>
      <c r="F39" s="6">
        <f>[131]Tasas!$B$31</f>
        <v>1.1129170230966638</v>
      </c>
      <c r="G39" s="6">
        <f>[131]Tasas!$B$35</f>
        <v>0.82400229687051396</v>
      </c>
    </row>
    <row r="40" spans="2:7" ht="15" thickBot="1" x14ac:dyDescent="0.25">
      <c r="B40" s="5" t="s">
        <v>67</v>
      </c>
      <c r="C40" s="6">
        <f>[132]Tasas!$B$36</f>
        <v>0.93739879525876024</v>
      </c>
      <c r="D40" s="6">
        <f>[132]Tasas!$B$17</f>
        <v>0.92744642396075394</v>
      </c>
      <c r="E40" s="6">
        <f>[132]Tasas!$B$28</f>
        <v>0.97772363383223115</v>
      </c>
      <c r="F40" s="6">
        <f>[132]Tasas!$B$31</f>
        <v>0.90256410256410258</v>
      </c>
      <c r="G40" s="6">
        <f>[132]Tasas!$B$35</f>
        <v>0.8501057721365971</v>
      </c>
    </row>
    <row r="41" spans="2:7" ht="15" thickBot="1" x14ac:dyDescent="0.25">
      <c r="B41" s="5" t="s">
        <v>31</v>
      </c>
      <c r="C41" s="6">
        <f>[133]Tasas!$B$36</f>
        <v>0.95017658819281137</v>
      </c>
      <c r="D41" s="6">
        <f>[133]Tasas!$B$17</f>
        <v>0.95192719486081367</v>
      </c>
      <c r="E41" s="6">
        <f>[133]Tasas!$B$28</f>
        <v>0.96552492590199002</v>
      </c>
      <c r="F41" s="6">
        <f>[133]Tasas!$B$31</f>
        <v>0.88729219498450262</v>
      </c>
      <c r="G41" s="6">
        <f>[133]Tasas!$B$35</f>
        <v>0.88809340235708778</v>
      </c>
    </row>
    <row r="42" spans="2:7" ht="15" thickBot="1" x14ac:dyDescent="0.25">
      <c r="B42" s="5" t="s">
        <v>68</v>
      </c>
      <c r="C42" s="6">
        <f>[134]Tasas!$B$36</f>
        <v>0.98705764661748152</v>
      </c>
      <c r="D42" s="6">
        <f>[134]Tasas!$B$17</f>
        <v>1.050365906155833</v>
      </c>
      <c r="E42" s="6">
        <f>[134]Tasas!$B$28</f>
        <v>1.0056964600569647</v>
      </c>
      <c r="F42" s="6">
        <f>[134]Tasas!$B$31</f>
        <v>0.91003460207612452</v>
      </c>
      <c r="G42" s="6">
        <f>[134]Tasas!$B$35</f>
        <v>0.57887013939838594</v>
      </c>
    </row>
    <row r="43" spans="2:7" ht="15" thickBot="1" x14ac:dyDescent="0.25">
      <c r="B43" s="5" t="s">
        <v>69</v>
      </c>
      <c r="C43" s="6">
        <f>[135]Tasas!$B$36</f>
        <v>0.9412099087353325</v>
      </c>
      <c r="D43" s="6">
        <f>[135]Tasas!$B$17</f>
        <v>0.92611513107251331</v>
      </c>
      <c r="E43" s="6">
        <f>[135]Tasas!$B$28</f>
        <v>0.97001174858037986</v>
      </c>
      <c r="F43" s="6">
        <f>[135]Tasas!$B$31</f>
        <v>0.97001499250374812</v>
      </c>
      <c r="G43" s="6">
        <f>[135]Tasas!$B$35</f>
        <v>0.81598141095978827</v>
      </c>
    </row>
    <row r="44" spans="2:7" ht="15" thickBot="1" x14ac:dyDescent="0.25">
      <c r="B44" s="5" t="s">
        <v>70</v>
      </c>
      <c r="C44" s="6">
        <f>[136]Tasas!$B$36</f>
        <v>0.95065933023432314</v>
      </c>
      <c r="D44" s="6">
        <f>[136]Tasas!$B$17</f>
        <v>0.93372250019855452</v>
      </c>
      <c r="E44" s="6">
        <f>[136]Tasas!$B$28</f>
        <v>0.97974503620130593</v>
      </c>
      <c r="F44" s="6">
        <f>[136]Tasas!$B$31</f>
        <v>1.0201758923952406</v>
      </c>
      <c r="G44" s="6">
        <f>[136]Tasas!$B$35</f>
        <v>0.87758130332632622</v>
      </c>
    </row>
    <row r="45" spans="2:7" ht="15" thickBot="1" x14ac:dyDescent="0.25">
      <c r="B45" s="5" t="s">
        <v>71</v>
      </c>
      <c r="C45" s="6">
        <f>[137]Tasas!$B$36</f>
        <v>0.97126416112210034</v>
      </c>
      <c r="D45" s="6">
        <f>[137]Tasas!$B$17</f>
        <v>0.99385245901639341</v>
      </c>
      <c r="E45" s="6">
        <f>[137]Tasas!$B$28</f>
        <v>0.98029053788771103</v>
      </c>
      <c r="F45" s="6">
        <f>[137]Tasas!$B$31</f>
        <v>1.1877256317689531</v>
      </c>
      <c r="G45" s="6">
        <f>[137]Tasas!$B$35</f>
        <v>0.68599562363238509</v>
      </c>
    </row>
    <row r="46" spans="2:7" ht="15" thickBot="1" x14ac:dyDescent="0.25">
      <c r="B46" s="5" t="s">
        <v>72</v>
      </c>
      <c r="C46" s="6">
        <f>[138]Tasas!$B$36</f>
        <v>0.93795803557853119</v>
      </c>
      <c r="D46" s="6">
        <f>[138]Tasas!$B$17</f>
        <v>0.93810078101531991</v>
      </c>
      <c r="E46" s="6">
        <f>[138]Tasas!$B$28</f>
        <v>0.95892894602775036</v>
      </c>
      <c r="F46" s="6">
        <f>[138]Tasas!$B$31</f>
        <v>0.7994031830238727</v>
      </c>
      <c r="G46" s="6">
        <f>[138]Tasas!$B$35</f>
        <v>0.8218727998122507</v>
      </c>
    </row>
    <row r="47" spans="2:7" ht="15" thickBot="1" x14ac:dyDescent="0.25">
      <c r="B47" s="5" t="s">
        <v>5</v>
      </c>
      <c r="C47" s="6">
        <f>[139]Tasas!$B$36</f>
        <v>0.95172476590836663</v>
      </c>
      <c r="D47" s="6">
        <f>[139]Tasas!$B$17</f>
        <v>0.9447492737889146</v>
      </c>
      <c r="E47" s="6">
        <f>[139]Tasas!$B$28</f>
        <v>0.99031439772465213</v>
      </c>
      <c r="F47" s="6">
        <f>[139]Tasas!$B$31</f>
        <v>0.97763280521901208</v>
      </c>
      <c r="G47" s="6">
        <f>[139]Tasas!$B$35</f>
        <v>0.78352044058462189</v>
      </c>
    </row>
    <row r="48" spans="2:7" ht="15" thickBot="1" x14ac:dyDescent="0.25">
      <c r="B48" s="5" t="s">
        <v>73</v>
      </c>
      <c r="C48" s="6">
        <f>[140]Tasas!$B$36</f>
        <v>0.95773166970419177</v>
      </c>
      <c r="D48" s="6">
        <f>[140]Tasas!$B$17</f>
        <v>0.97736057426835998</v>
      </c>
      <c r="E48" s="6">
        <f>[140]Tasas!$B$28</f>
        <v>0.97576547231270361</v>
      </c>
      <c r="F48" s="6">
        <f>[140]Tasas!$B$31</f>
        <v>1.0714285714285714</v>
      </c>
      <c r="G48" s="6">
        <f>[140]Tasas!$B$35</f>
        <v>0.66195652173913044</v>
      </c>
    </row>
    <row r="49" spans="2:7" ht="15" thickBot="1" x14ac:dyDescent="0.25">
      <c r="B49" s="5" t="s">
        <v>74</v>
      </c>
      <c r="C49" s="6">
        <f>[141]Tasas!$B$36</f>
        <v>0.97200269918979021</v>
      </c>
      <c r="D49" s="6">
        <f>[141]Tasas!$B$17</f>
        <v>0.97066842154742883</v>
      </c>
      <c r="E49" s="6">
        <f>[141]Tasas!$B$28</f>
        <v>0.98894149504259421</v>
      </c>
      <c r="F49" s="6">
        <f>[141]Tasas!$B$31</f>
        <v>0.98177826564215143</v>
      </c>
      <c r="G49" s="6">
        <f>[141]Tasas!$B$35</f>
        <v>0.8131176999101527</v>
      </c>
    </row>
    <row r="50" spans="2:7" ht="15" thickBot="1" x14ac:dyDescent="0.25">
      <c r="B50" s="5" t="s">
        <v>75</v>
      </c>
      <c r="C50" s="6">
        <f>[142]Tasas!$B$36</f>
        <v>0.93213429256594726</v>
      </c>
      <c r="D50" s="6">
        <f>[142]Tasas!$B$17</f>
        <v>0.95193708127002619</v>
      </c>
      <c r="E50" s="6">
        <f>[142]Tasas!$B$28</f>
        <v>0.94027107741787275</v>
      </c>
      <c r="F50" s="6">
        <f>[142]Tasas!$B$31</f>
        <v>0.81560283687943258</v>
      </c>
      <c r="G50" s="6">
        <f>[142]Tasas!$B$35</f>
        <v>0.72154963680387407</v>
      </c>
    </row>
    <row r="51" spans="2:7" ht="15" thickBot="1" x14ac:dyDescent="0.25">
      <c r="B51" s="5" t="s">
        <v>76</v>
      </c>
      <c r="C51" s="6">
        <f>[143]Tasas!$B$36</f>
        <v>0.94460586654016443</v>
      </c>
      <c r="D51" s="6">
        <f>[143]Tasas!$B$17</f>
        <v>0.93510381725944614</v>
      </c>
      <c r="E51" s="6">
        <f>[143]Tasas!$B$28</f>
        <v>0.95827605860461995</v>
      </c>
      <c r="F51" s="6">
        <f>[143]Tasas!$B$31</f>
        <v>1.1242603550295858</v>
      </c>
      <c r="G51" s="6">
        <f>[143]Tasas!$B$35</f>
        <v>0.80919340849956634</v>
      </c>
    </row>
    <row r="52" spans="2:7" ht="15" thickBot="1" x14ac:dyDescent="0.25">
      <c r="B52" s="5" t="s">
        <v>77</v>
      </c>
      <c r="C52" s="6">
        <f>[144]Tasas!$B$36</f>
        <v>0.99794483504597076</v>
      </c>
      <c r="D52" s="6">
        <f>[144]Tasas!$B$17</f>
        <v>1.0034393809114359</v>
      </c>
      <c r="E52" s="6">
        <f>[144]Tasas!$B$28</f>
        <v>0.99750384024577576</v>
      </c>
      <c r="F52" s="6">
        <f>[144]Tasas!$B$31</f>
        <v>1.6712328767123288</v>
      </c>
      <c r="G52" s="6">
        <f>[144]Tasas!$B$35</f>
        <v>0.71144278606965172</v>
      </c>
    </row>
    <row r="53" spans="2:7" ht="15" thickBot="1" x14ac:dyDescent="0.25">
      <c r="B53" s="5" t="s">
        <v>78</v>
      </c>
      <c r="C53" s="6">
        <f>[145]Tasas!$B$36</f>
        <v>0.94326401082526534</v>
      </c>
      <c r="D53" s="6">
        <f>[145]Tasas!$B$17</f>
        <v>0.95479249901018604</v>
      </c>
      <c r="E53" s="6">
        <f>[145]Tasas!$B$28</f>
        <v>0.9260959914197614</v>
      </c>
      <c r="F53" s="6">
        <f>[145]Tasas!$B$31</f>
        <v>1.1806208842897461</v>
      </c>
      <c r="G53" s="6">
        <f>[145]Tasas!$B$35</f>
        <v>0.92547864506627397</v>
      </c>
    </row>
    <row r="54" spans="2:7" ht="15" thickBot="1" x14ac:dyDescent="0.25">
      <c r="B54" s="5" t="s">
        <v>79</v>
      </c>
      <c r="C54" s="6">
        <f>[146]Tasas!$B$36</f>
        <v>0.95498207411568392</v>
      </c>
      <c r="D54" s="6">
        <f>[146]Tasas!$B$17</f>
        <v>0.95055628889307942</v>
      </c>
      <c r="E54" s="6">
        <f>[146]Tasas!$B$28</f>
        <v>0.96940863094012164</v>
      </c>
      <c r="F54" s="6">
        <f>[146]Tasas!$B$31</f>
        <v>1.1901126169116243</v>
      </c>
      <c r="G54" s="6">
        <f>[146]Tasas!$B$35</f>
        <v>0.81162899942585731</v>
      </c>
    </row>
    <row r="55" spans="2:7" ht="15" thickBot="1" x14ac:dyDescent="0.25">
      <c r="B55" s="5" t="s">
        <v>80</v>
      </c>
      <c r="C55" s="6">
        <f>[147]Tasas!$B$36</f>
        <v>0.93589794777609203</v>
      </c>
      <c r="D55" s="6">
        <f>[147]Tasas!$B$17</f>
        <v>0.92073549992225157</v>
      </c>
      <c r="E55" s="6">
        <f>[147]Tasas!$B$28</f>
        <v>0.97644734842729064</v>
      </c>
      <c r="F55" s="6">
        <f>[147]Tasas!$B$31</f>
        <v>1.0985010706638116</v>
      </c>
      <c r="G55" s="6">
        <f>[147]Tasas!$B$35</f>
        <v>0.78352749932267673</v>
      </c>
    </row>
    <row r="56" spans="2:7" ht="15" thickBot="1" x14ac:dyDescent="0.25">
      <c r="B56" s="5" t="s">
        <v>81</v>
      </c>
      <c r="C56" s="6">
        <f>[148]Tasas!$B$36</f>
        <v>0.93970661488883689</v>
      </c>
      <c r="D56" s="6">
        <f>[148]Tasas!$B$17</f>
        <v>0.96095628172023861</v>
      </c>
      <c r="E56" s="6">
        <f>[148]Tasas!$B$28</f>
        <v>0.96187735110707162</v>
      </c>
      <c r="F56" s="6">
        <f>[148]Tasas!$B$31</f>
        <v>1.1624834874504624</v>
      </c>
      <c r="G56" s="6">
        <f>[148]Tasas!$B$35</f>
        <v>0.76359357247200133</v>
      </c>
    </row>
    <row r="57" spans="2:7" ht="15" thickBot="1" x14ac:dyDescent="0.25">
      <c r="B57" s="5" t="s">
        <v>82</v>
      </c>
      <c r="C57" s="6">
        <f>[149]Tasas!$B$36</f>
        <v>0.90766281155297168</v>
      </c>
      <c r="D57" s="6">
        <f>[149]Tasas!$B$17</f>
        <v>0.93122518434486667</v>
      </c>
      <c r="E57" s="6">
        <f>[149]Tasas!$B$28</f>
        <v>0.91134475597092424</v>
      </c>
      <c r="F57" s="6">
        <f>[149]Tasas!$B$31</f>
        <v>0.98765432098765427</v>
      </c>
      <c r="G57" s="6">
        <f>[149]Tasas!$B$35</f>
        <v>0.70523415977961434</v>
      </c>
    </row>
    <row r="58" spans="2:7" ht="15" thickBot="1" x14ac:dyDescent="0.25">
      <c r="B58" s="5" t="s">
        <v>83</v>
      </c>
      <c r="C58" s="6">
        <f>[150]Tasas!$B$36</f>
        <v>1.0167175197900442</v>
      </c>
      <c r="D58" s="6">
        <f>[150]Tasas!$B$17</f>
        <v>1.0414128108019101</v>
      </c>
      <c r="E58" s="6">
        <f>[150]Tasas!$B$28</f>
        <v>1.00508618253744</v>
      </c>
      <c r="F58" s="6">
        <f>[150]Tasas!$B$31</f>
        <v>1.1277561608300908</v>
      </c>
      <c r="G58" s="6">
        <f>[150]Tasas!$B$35</f>
        <v>0.93701675257731953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7B74C54566B6746BABA9F3C93DBFEE1" ma:contentTypeVersion="0" ma:contentTypeDescription="Crear nuevo documento." ma:contentTypeScope="" ma:versionID="4719a4e4488bbfbfba9409ffbb2c32e4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1D7D6C-51A9-4A9E-88E9-6B62A5F805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F0DA1D68-1C87-4CCE-978B-F1A3CB1533FF}">
  <ds:schemaRefs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2FE2EF2-447C-4D9E-B72B-389DFFBB3E1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28</vt:i4>
      </vt:variant>
    </vt:vector>
  </HeadingPairs>
  <TitlesOfParts>
    <vt:vector size="28" baseType="lpstr">
      <vt:lpstr>Introducción</vt:lpstr>
      <vt:lpstr>Serie total</vt:lpstr>
      <vt:lpstr>Serie Civil</vt:lpstr>
      <vt:lpstr>Serie Penal</vt:lpstr>
      <vt:lpstr>Serie Contencioso Adm.</vt:lpstr>
      <vt:lpstr>Serie Social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ivillan</dc:creator>
  <cp:lastModifiedBy>Jesús María Martínez Taboada</cp:lastModifiedBy>
  <dcterms:created xsi:type="dcterms:W3CDTF">2011-03-07T07:48:02Z</dcterms:created>
  <dcterms:modified xsi:type="dcterms:W3CDTF">2023-05-22T14:50:30Z</dcterms:modified>
</cp:coreProperties>
</file>